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catamountwcu.sharepoint.com/sites/OfficeofResearchAdministration-StaffTeam/Shared Documents/Master Template/Proposal Development/"/>
    </mc:Choice>
  </mc:AlternateContent>
  <xr:revisionPtr revIDLastSave="2012" documentId="13_ncr:1_{FED4306E-E506-4B66-A1A7-9F7475E0CE12}" xr6:coauthVersionLast="47" xr6:coauthVersionMax="47" xr10:uidLastSave="{4179647D-D93B-46E0-B9BB-750DC077C1D2}"/>
  <bookViews>
    <workbookView xWindow="-120" yWindow="-120" windowWidth="29040" windowHeight="15840" xr2:uid="{00000000-000D-0000-FFFF-FFFF00000000}"/>
  </bookViews>
  <sheets>
    <sheet name="Proposal Development Checklist" sheetId="34" r:id="rId1"/>
    <sheet name="Budget Summary" sheetId="28" r:id="rId2"/>
    <sheet name="Bdgt Yr 1" sheetId="1" r:id="rId3"/>
    <sheet name="Bdgt Yr 2" sheetId="21" r:id="rId4"/>
    <sheet name="Bdgt Yr 3" sheetId="22" r:id="rId5"/>
    <sheet name="Bdgt Yr 4" sheetId="23" r:id="rId6"/>
    <sheet name="Bdgt Yr 5" sheetId="24" r:id="rId7"/>
    <sheet name="Cumulative Cost" sheetId="25" r:id="rId8"/>
    <sheet name="Cost-Share" sheetId="30" r:id="rId9"/>
    <sheet name="Domestic Travel Calculator" sheetId="14" r:id="rId10"/>
    <sheet name="Justification" sheetId="33" r:id="rId11"/>
    <sheet name="Constants" sheetId="9" r:id="rId12"/>
    <sheet name="Calculators" sheetId="31" r:id="rId13"/>
    <sheet name="Effort Conversion Table" sheetId="26" r:id="rId14"/>
    <sheet name="Tuition &amp; Fees" sheetId="32" r:id="rId15"/>
  </sheets>
  <definedNames>
    <definedName name="_xlnm._FilterDatabase" localSheetId="12" hidden="1">Calculators!$B$1:$AM$61</definedName>
    <definedName name="_xlnm._FilterDatabase" localSheetId="11" hidden="1">Constants!$X$1:$AA$473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 i="1" l="1" a="1"/>
  <c r="L12" i="1" s="1"/>
  <c r="C14" i="9"/>
  <c r="E25" i="9"/>
  <c r="E17" i="9"/>
  <c r="E12" i="9"/>
  <c r="D36" i="32"/>
  <c r="D15" i="32"/>
  <c r="C34" i="32"/>
  <c r="C33" i="32"/>
  <c r="C32" i="32"/>
  <c r="C31" i="32"/>
  <c r="C30" i="32"/>
  <c r="C29" i="32"/>
  <c r="C28" i="32"/>
  <c r="C27" i="32"/>
  <c r="C26" i="32"/>
  <c r="D34" i="32"/>
  <c r="D33" i="32"/>
  <c r="D32" i="32"/>
  <c r="D31" i="32"/>
  <c r="D30" i="32"/>
  <c r="D29" i="32"/>
  <c r="D28" i="32"/>
  <c r="D27" i="32"/>
  <c r="D26" i="32"/>
  <c r="C12" i="32"/>
  <c r="C13" i="32"/>
  <c r="C11" i="32"/>
  <c r="C10" i="32"/>
  <c r="C9" i="32"/>
  <c r="C8" i="32"/>
  <c r="C7" i="32"/>
  <c r="C6" i="32"/>
  <c r="C5" i="32"/>
  <c r="D5" i="32"/>
  <c r="D6" i="32"/>
  <c r="D7" i="32"/>
  <c r="D8" i="32"/>
  <c r="D9" i="32"/>
  <c r="D10" i="32"/>
  <c r="D11" i="32"/>
  <c r="D12" i="32"/>
  <c r="D13" i="32"/>
  <c r="D14" i="32"/>
  <c r="D16" i="32"/>
  <c r="D17" i="32"/>
  <c r="D18" i="32"/>
  <c r="D19" i="32"/>
  <c r="D20" i="32"/>
  <c r="D21" i="32"/>
  <c r="E14" i="28"/>
  <c r="F42" i="25"/>
  <c r="F41" i="25"/>
  <c r="C43" i="34"/>
  <c r="G42" i="34"/>
  <c r="E15" i="28" s="1"/>
  <c r="H119" i="1" s="1"/>
  <c r="H119" i="21" s="1"/>
  <c r="G36" i="28"/>
  <c r="G37" i="28"/>
  <c r="D8" i="28"/>
  <c r="D6" i="28"/>
  <c r="C3" i="25" s="1"/>
  <c r="D5" i="28"/>
  <c r="D7" i="28"/>
  <c r="N50" i="14"/>
  <c r="O50" i="14" s="1"/>
  <c r="I50" i="14"/>
  <c r="K50" i="14" s="1"/>
  <c r="G50" i="14"/>
  <c r="N49" i="14"/>
  <c r="O49" i="14" s="1"/>
  <c r="I49" i="14"/>
  <c r="K49" i="14" s="1"/>
  <c r="G49" i="14"/>
  <c r="N48" i="14"/>
  <c r="O48" i="14" s="1"/>
  <c r="I48" i="14"/>
  <c r="K48" i="14" s="1"/>
  <c r="G48" i="14"/>
  <c r="H48" i="14" s="1"/>
  <c r="N47" i="14"/>
  <c r="O47" i="14" s="1"/>
  <c r="I47" i="14"/>
  <c r="K47" i="14" s="1"/>
  <c r="G47" i="14"/>
  <c r="N41" i="14"/>
  <c r="O41" i="14" s="1"/>
  <c r="I41" i="14"/>
  <c r="K41" i="14" s="1"/>
  <c r="G41" i="14"/>
  <c r="N40" i="14"/>
  <c r="O40" i="14" s="1"/>
  <c r="I40" i="14"/>
  <c r="K40" i="14" s="1"/>
  <c r="G40" i="14"/>
  <c r="N39" i="14"/>
  <c r="O39" i="14" s="1"/>
  <c r="I39" i="14"/>
  <c r="K39" i="14" s="1"/>
  <c r="G39" i="14"/>
  <c r="N38" i="14"/>
  <c r="O38" i="14" s="1"/>
  <c r="I38" i="14"/>
  <c r="K38" i="14" s="1"/>
  <c r="G38" i="14"/>
  <c r="N32" i="14"/>
  <c r="O32" i="14" s="1"/>
  <c r="I32" i="14"/>
  <c r="K32" i="14" s="1"/>
  <c r="G32" i="14"/>
  <c r="N31" i="14"/>
  <c r="O31" i="14" s="1"/>
  <c r="I31" i="14"/>
  <c r="K31" i="14" s="1"/>
  <c r="G31" i="14"/>
  <c r="N30" i="14"/>
  <c r="O30" i="14" s="1"/>
  <c r="I30" i="14"/>
  <c r="K30" i="14" s="1"/>
  <c r="G30" i="14"/>
  <c r="N29" i="14"/>
  <c r="O29" i="14" s="1"/>
  <c r="I29" i="14"/>
  <c r="K29" i="14" s="1"/>
  <c r="G29" i="14"/>
  <c r="N23" i="14"/>
  <c r="O23" i="14" s="1"/>
  <c r="I23" i="14"/>
  <c r="K23" i="14" s="1"/>
  <c r="G23" i="14"/>
  <c r="N22" i="14"/>
  <c r="O22" i="14" s="1"/>
  <c r="I22" i="14"/>
  <c r="K22" i="14" s="1"/>
  <c r="G22" i="14"/>
  <c r="N21" i="14"/>
  <c r="O21" i="14" s="1"/>
  <c r="I21" i="14"/>
  <c r="K21" i="14" s="1"/>
  <c r="G21" i="14"/>
  <c r="N20" i="14"/>
  <c r="O20" i="14" s="1"/>
  <c r="I20" i="14"/>
  <c r="K20" i="14" s="1"/>
  <c r="G20" i="14"/>
  <c r="G12" i="14"/>
  <c r="I12" i="14"/>
  <c r="K12" i="14" s="1"/>
  <c r="N12" i="14"/>
  <c r="O12" i="14" s="1"/>
  <c r="G13" i="14"/>
  <c r="I13" i="14"/>
  <c r="K13" i="14" s="1"/>
  <c r="N13" i="14"/>
  <c r="O13" i="14" s="1"/>
  <c r="G14" i="14"/>
  <c r="I14" i="14"/>
  <c r="K14" i="14" s="1"/>
  <c r="N14" i="14"/>
  <c r="O14" i="14" s="1"/>
  <c r="I11" i="14"/>
  <c r="K11" i="14" s="1"/>
  <c r="G11" i="14"/>
  <c r="D6" i="14"/>
  <c r="C6" i="14"/>
  <c r="H11" i="14" s="1"/>
  <c r="N26" i="9"/>
  <c r="N29" i="9"/>
  <c r="N27" i="9"/>
  <c r="N28" i="9" s="1"/>
  <c r="J14" i="31"/>
  <c r="O22" i="9"/>
  <c r="K38" i="1"/>
  <c r="K37" i="1"/>
  <c r="H37" i="21"/>
  <c r="H37" i="22"/>
  <c r="D112" i="24"/>
  <c r="D111" i="24"/>
  <c r="D110" i="24"/>
  <c r="D109" i="24"/>
  <c r="D108" i="24"/>
  <c r="D107" i="24"/>
  <c r="D106" i="24"/>
  <c r="D105" i="24"/>
  <c r="D104" i="24"/>
  <c r="D103" i="24"/>
  <c r="D102" i="24"/>
  <c r="D101" i="24"/>
  <c r="D100" i="24"/>
  <c r="D99" i="24"/>
  <c r="D98" i="24"/>
  <c r="D97" i="24"/>
  <c r="D96" i="24"/>
  <c r="D95" i="24"/>
  <c r="D94" i="24"/>
  <c r="D93" i="24"/>
  <c r="D92" i="24"/>
  <c r="D91" i="24"/>
  <c r="D90" i="24"/>
  <c r="D89" i="24"/>
  <c r="D112" i="23"/>
  <c r="D111" i="23"/>
  <c r="D110" i="23"/>
  <c r="D109" i="23"/>
  <c r="D108" i="23"/>
  <c r="D107" i="23"/>
  <c r="D106" i="23"/>
  <c r="D105" i="23"/>
  <c r="D104" i="23"/>
  <c r="D103" i="23"/>
  <c r="D102" i="23"/>
  <c r="D101" i="23"/>
  <c r="D100" i="23"/>
  <c r="D99" i="23"/>
  <c r="D98" i="23"/>
  <c r="D97" i="23"/>
  <c r="D96" i="23"/>
  <c r="D95" i="23"/>
  <c r="D94" i="23"/>
  <c r="D93" i="23"/>
  <c r="D92" i="23"/>
  <c r="D91" i="23"/>
  <c r="D90" i="23"/>
  <c r="D89" i="23"/>
  <c r="D112" i="22"/>
  <c r="D111" i="22"/>
  <c r="D110" i="22"/>
  <c r="D109" i="22"/>
  <c r="D108" i="22"/>
  <c r="D107" i="22"/>
  <c r="D106" i="22"/>
  <c r="D105" i="22"/>
  <c r="D104" i="22"/>
  <c r="D103" i="22"/>
  <c r="D102" i="22"/>
  <c r="D101" i="22"/>
  <c r="D100" i="22"/>
  <c r="D99" i="22"/>
  <c r="D98" i="22"/>
  <c r="D97" i="22"/>
  <c r="D96" i="22"/>
  <c r="D95" i="22"/>
  <c r="D94" i="22"/>
  <c r="D93" i="22"/>
  <c r="D92" i="22"/>
  <c r="D91" i="22"/>
  <c r="D90" i="22"/>
  <c r="D89" i="22"/>
  <c r="D112" i="21"/>
  <c r="D111" i="21"/>
  <c r="D110" i="21"/>
  <c r="D109" i="21"/>
  <c r="D108" i="21"/>
  <c r="D107" i="21"/>
  <c r="D106" i="21"/>
  <c r="D105" i="21"/>
  <c r="D104" i="21"/>
  <c r="D103" i="21"/>
  <c r="D102" i="21"/>
  <c r="D101" i="21"/>
  <c r="D100" i="21"/>
  <c r="D99" i="21"/>
  <c r="D98" i="21"/>
  <c r="D97" i="21"/>
  <c r="D96" i="21"/>
  <c r="D95" i="21"/>
  <c r="D94" i="21"/>
  <c r="D93" i="21"/>
  <c r="D92" i="21"/>
  <c r="D91" i="21"/>
  <c r="D90" i="21"/>
  <c r="D89" i="21"/>
  <c r="B91" i="22"/>
  <c r="B92" i="22"/>
  <c r="B93" i="22"/>
  <c r="B94" i="22"/>
  <c r="B95" i="22"/>
  <c r="B96" i="22"/>
  <c r="B97" i="22"/>
  <c r="B98" i="22"/>
  <c r="B99" i="22"/>
  <c r="B100" i="22"/>
  <c r="B101" i="22"/>
  <c r="B102" i="22"/>
  <c r="B103" i="22"/>
  <c r="B104" i="22"/>
  <c r="B105" i="22"/>
  <c r="B106" i="22"/>
  <c r="B107" i="22"/>
  <c r="B108" i="22"/>
  <c r="B109" i="22"/>
  <c r="B110" i="22"/>
  <c r="B111" i="22"/>
  <c r="B112" i="22"/>
  <c r="B91" i="23"/>
  <c r="B92" i="23"/>
  <c r="B93" i="23"/>
  <c r="B94" i="23"/>
  <c r="B95" i="23"/>
  <c r="B96" i="23"/>
  <c r="B97" i="23"/>
  <c r="B98" i="23"/>
  <c r="B99" i="23"/>
  <c r="B100" i="23"/>
  <c r="B101" i="23"/>
  <c r="B102" i="23"/>
  <c r="B103" i="23"/>
  <c r="B104" i="23"/>
  <c r="B105" i="23"/>
  <c r="B106" i="23"/>
  <c r="B107" i="23"/>
  <c r="B108" i="23"/>
  <c r="B109" i="23"/>
  <c r="B110" i="23"/>
  <c r="B111" i="23"/>
  <c r="B112" i="23"/>
  <c r="B91" i="24"/>
  <c r="B92" i="24"/>
  <c r="B93" i="24"/>
  <c r="B94" i="24"/>
  <c r="B95" i="24"/>
  <c r="B96" i="24"/>
  <c r="B97" i="24"/>
  <c r="B98" i="24"/>
  <c r="B99" i="24"/>
  <c r="B100" i="24"/>
  <c r="B101" i="24"/>
  <c r="B102" i="24"/>
  <c r="B103" i="24"/>
  <c r="B104" i="24"/>
  <c r="B105" i="24"/>
  <c r="B106" i="24"/>
  <c r="B107" i="24"/>
  <c r="B108" i="24"/>
  <c r="B109" i="24"/>
  <c r="B110" i="24"/>
  <c r="B111" i="24"/>
  <c r="B112" i="24"/>
  <c r="B91" i="21"/>
  <c r="B92" i="21"/>
  <c r="B93" i="21"/>
  <c r="B94" i="21"/>
  <c r="B95" i="21"/>
  <c r="B96" i="21"/>
  <c r="B97" i="21"/>
  <c r="B98" i="21"/>
  <c r="B99" i="21"/>
  <c r="B100" i="21"/>
  <c r="B101" i="21"/>
  <c r="B102" i="21"/>
  <c r="B103" i="21"/>
  <c r="B104" i="21"/>
  <c r="B105" i="21"/>
  <c r="B106" i="21"/>
  <c r="B107" i="21"/>
  <c r="B108" i="21"/>
  <c r="B109" i="21"/>
  <c r="B110" i="21"/>
  <c r="B111" i="21"/>
  <c r="B112" i="21"/>
  <c r="B90" i="22"/>
  <c r="B90" i="23"/>
  <c r="B90" i="24"/>
  <c r="B90" i="21"/>
  <c r="B89" i="22"/>
  <c r="B89" i="23"/>
  <c r="B89" i="24"/>
  <c r="B89" i="21"/>
  <c r="D112" i="1"/>
  <c r="D103" i="25" s="1"/>
  <c r="D111" i="1"/>
  <c r="D102" i="25" s="1"/>
  <c r="D110" i="1"/>
  <c r="D101" i="25" s="1"/>
  <c r="D109" i="1"/>
  <c r="D100" i="25" s="1"/>
  <c r="D108" i="1"/>
  <c r="D99" i="25" s="1"/>
  <c r="D107" i="1"/>
  <c r="D98" i="25" s="1"/>
  <c r="D106" i="1"/>
  <c r="D97" i="25" s="1"/>
  <c r="D105" i="1"/>
  <c r="D96" i="25" s="1"/>
  <c r="D104" i="1"/>
  <c r="D95" i="25" s="1"/>
  <c r="D103" i="1"/>
  <c r="D94" i="25" s="1"/>
  <c r="D102" i="1"/>
  <c r="D93" i="25" s="1"/>
  <c r="D101" i="1"/>
  <c r="D92" i="25" s="1"/>
  <c r="D100" i="1"/>
  <c r="D91" i="25" s="1"/>
  <c r="D99" i="1"/>
  <c r="D90" i="25" s="1"/>
  <c r="D98" i="1"/>
  <c r="D89" i="25" s="1"/>
  <c r="D97" i="1"/>
  <c r="D88" i="25" s="1"/>
  <c r="D96" i="1"/>
  <c r="D87" i="25" s="1"/>
  <c r="D95" i="1"/>
  <c r="D86" i="25" s="1"/>
  <c r="D94" i="1"/>
  <c r="D85" i="25" s="1"/>
  <c r="D93" i="1"/>
  <c r="D84" i="25" s="1"/>
  <c r="D92" i="1"/>
  <c r="D83" i="25" s="1"/>
  <c r="D91" i="1"/>
  <c r="D82" i="25" s="1"/>
  <c r="D90" i="1"/>
  <c r="D81" i="25" s="1"/>
  <c r="D89" i="1"/>
  <c r="D80" i="25" s="1"/>
  <c r="J8" i="31"/>
  <c r="J10" i="31" s="1"/>
  <c r="N48" i="28"/>
  <c r="L48" i="28"/>
  <c r="J48" i="28"/>
  <c r="N54" i="28"/>
  <c r="N53" i="28"/>
  <c r="N52" i="28"/>
  <c r="L54" i="28"/>
  <c r="L53" i="28"/>
  <c r="L52" i="28"/>
  <c r="J54" i="28"/>
  <c r="J53" i="28"/>
  <c r="J52" i="28"/>
  <c r="N57" i="28"/>
  <c r="N56" i="28"/>
  <c r="L57" i="28"/>
  <c r="L56" i="28"/>
  <c r="J57" i="28"/>
  <c r="J56" i="28"/>
  <c r="H57" i="28"/>
  <c r="H56" i="28"/>
  <c r="H54" i="28"/>
  <c r="H53" i="28"/>
  <c r="H52" i="28"/>
  <c r="H48" i="28"/>
  <c r="F57" i="28"/>
  <c r="F56" i="28"/>
  <c r="F54" i="28"/>
  <c r="F53" i="28"/>
  <c r="F52" i="28"/>
  <c r="F48" i="28"/>
  <c r="B92" i="25"/>
  <c r="M60" i="24"/>
  <c r="M59" i="24"/>
  <c r="M60" i="23"/>
  <c r="M59" i="23"/>
  <c r="M60" i="22"/>
  <c r="M59" i="22"/>
  <c r="M60" i="21"/>
  <c r="M59" i="21"/>
  <c r="M60" i="1"/>
  <c r="M59" i="1"/>
  <c r="D42" i="32"/>
  <c r="D41" i="32"/>
  <c r="D40" i="32"/>
  <c r="D39" i="32"/>
  <c r="D38" i="32"/>
  <c r="D37" i="32"/>
  <c r="D35" i="32"/>
  <c r="D25" i="32"/>
  <c r="D4" i="32"/>
  <c r="D17" i="22"/>
  <c r="J31" i="21"/>
  <c r="J30" i="21"/>
  <c r="J37" i="21"/>
  <c r="J38" i="21"/>
  <c r="K38" i="21" s="1"/>
  <c r="K30" i="28"/>
  <c r="K25" i="28"/>
  <c r="H30" i="28"/>
  <c r="H25" i="28"/>
  <c r="B83" i="25"/>
  <c r="AT9" i="30"/>
  <c r="AT10" i="30"/>
  <c r="AT11" i="30"/>
  <c r="AT12" i="30"/>
  <c r="AT13" i="30"/>
  <c r="AT14" i="30"/>
  <c r="AT15" i="30"/>
  <c r="AT16" i="30"/>
  <c r="AT17" i="30"/>
  <c r="AK9" i="30"/>
  <c r="AK10" i="30"/>
  <c r="AK11" i="30"/>
  <c r="AK12" i="30"/>
  <c r="AK13" i="30"/>
  <c r="AK14" i="30"/>
  <c r="AK15" i="30"/>
  <c r="AK16" i="30"/>
  <c r="AK17" i="30"/>
  <c r="AB9" i="30"/>
  <c r="AB10" i="30"/>
  <c r="AB11" i="30"/>
  <c r="AB12" i="30"/>
  <c r="AB13" i="30"/>
  <c r="AB14" i="30"/>
  <c r="AB15" i="30"/>
  <c r="AB16" i="30"/>
  <c r="AB17" i="30"/>
  <c r="S9" i="30"/>
  <c r="S10" i="30"/>
  <c r="S11" i="30"/>
  <c r="S12" i="30"/>
  <c r="S13" i="30"/>
  <c r="S14" i="30"/>
  <c r="S15" i="30"/>
  <c r="S16" i="30"/>
  <c r="S17" i="30"/>
  <c r="J9" i="30"/>
  <c r="J10" i="30"/>
  <c r="J11" i="30"/>
  <c r="J12" i="30"/>
  <c r="J13" i="30"/>
  <c r="J14" i="30"/>
  <c r="J15" i="30"/>
  <c r="J16" i="30"/>
  <c r="J17" i="30"/>
  <c r="K15" i="23"/>
  <c r="K16" i="23"/>
  <c r="K17" i="23"/>
  <c r="K18" i="23"/>
  <c r="K19" i="23"/>
  <c r="K20" i="23"/>
  <c r="K21" i="23"/>
  <c r="K22" i="23"/>
  <c r="K23" i="23"/>
  <c r="K15" i="21"/>
  <c r="K16" i="21"/>
  <c r="K17" i="21"/>
  <c r="K18" i="21"/>
  <c r="K19" i="21"/>
  <c r="K20" i="21"/>
  <c r="K21" i="21"/>
  <c r="K22" i="21"/>
  <c r="K23" i="21"/>
  <c r="K15" i="24"/>
  <c r="K16" i="24"/>
  <c r="K17" i="24"/>
  <c r="K18" i="24"/>
  <c r="K19" i="24"/>
  <c r="K20" i="24"/>
  <c r="K21" i="24"/>
  <c r="K22" i="24"/>
  <c r="K23" i="24"/>
  <c r="K15" i="22"/>
  <c r="K16" i="22"/>
  <c r="K17" i="22"/>
  <c r="K18" i="22"/>
  <c r="K19" i="22"/>
  <c r="K20" i="22"/>
  <c r="K21" i="22"/>
  <c r="K22" i="22"/>
  <c r="K23" i="22"/>
  <c r="K15" i="1"/>
  <c r="K16" i="1"/>
  <c r="K17" i="1"/>
  <c r="K18" i="1"/>
  <c r="K19" i="1"/>
  <c r="K20" i="1"/>
  <c r="K21" i="1"/>
  <c r="K22" i="1"/>
  <c r="K23" i="1"/>
  <c r="AA17" i="26"/>
  <c r="B31" i="25"/>
  <c r="B30" i="25"/>
  <c r="B27" i="25"/>
  <c r="B26" i="25"/>
  <c r="C61" i="24"/>
  <c r="B61" i="24"/>
  <c r="C60" i="24"/>
  <c r="B60" i="24"/>
  <c r="C59" i="24"/>
  <c r="B59" i="24"/>
  <c r="C61" i="23"/>
  <c r="B61" i="23"/>
  <c r="C60" i="23"/>
  <c r="B60" i="23"/>
  <c r="C59" i="23"/>
  <c r="B59" i="23"/>
  <c r="C61" i="22"/>
  <c r="B61" i="22"/>
  <c r="C60" i="22"/>
  <c r="B60" i="22"/>
  <c r="C59" i="22"/>
  <c r="B59" i="22"/>
  <c r="B61" i="21"/>
  <c r="C61" i="21"/>
  <c r="B38" i="24"/>
  <c r="B37" i="24"/>
  <c r="B31" i="24"/>
  <c r="B30" i="24"/>
  <c r="B38" i="23"/>
  <c r="B37" i="23"/>
  <c r="B31" i="23"/>
  <c r="B30" i="23"/>
  <c r="B38" i="22"/>
  <c r="B37" i="22"/>
  <c r="B31" i="22"/>
  <c r="B30" i="22"/>
  <c r="B38" i="21"/>
  <c r="B37" i="21"/>
  <c r="B31" i="21"/>
  <c r="B30" i="21"/>
  <c r="N15" i="9"/>
  <c r="N8" i="9"/>
  <c r="F12" i="9"/>
  <c r="F25" i="9"/>
  <c r="F17" i="9"/>
  <c r="B13" i="22"/>
  <c r="C13" i="22"/>
  <c r="D13" i="22"/>
  <c r="E13" i="22"/>
  <c r="B14" i="22"/>
  <c r="C14" i="22"/>
  <c r="D14" i="22"/>
  <c r="E14" i="22"/>
  <c r="B15" i="22"/>
  <c r="C15" i="22"/>
  <c r="D15" i="22"/>
  <c r="E15" i="22"/>
  <c r="B16" i="22"/>
  <c r="C16" i="22"/>
  <c r="D16" i="22"/>
  <c r="E16" i="22"/>
  <c r="B17" i="22"/>
  <c r="C17" i="22"/>
  <c r="E17" i="22"/>
  <c r="B18" i="22"/>
  <c r="C18" i="22"/>
  <c r="D18" i="22"/>
  <c r="E18" i="22"/>
  <c r="B19" i="22"/>
  <c r="C19" i="22"/>
  <c r="D19" i="22"/>
  <c r="E19" i="22"/>
  <c r="B20" i="22"/>
  <c r="C20" i="22"/>
  <c r="D20" i="22"/>
  <c r="E20" i="22"/>
  <c r="B21" i="22"/>
  <c r="C21" i="22"/>
  <c r="D21" i="22"/>
  <c r="E21" i="22"/>
  <c r="B22" i="22"/>
  <c r="C22" i="22"/>
  <c r="D22" i="22"/>
  <c r="E22" i="22"/>
  <c r="B23" i="22"/>
  <c r="C23" i="22"/>
  <c r="D23" i="22"/>
  <c r="E23" i="22"/>
  <c r="B13" i="23"/>
  <c r="C13" i="23"/>
  <c r="D13" i="23"/>
  <c r="E13" i="23"/>
  <c r="B14" i="23"/>
  <c r="C14" i="23"/>
  <c r="D14" i="23"/>
  <c r="E14" i="23"/>
  <c r="B15" i="23"/>
  <c r="C15" i="23"/>
  <c r="D15" i="23"/>
  <c r="E15" i="23"/>
  <c r="B16" i="23"/>
  <c r="C16" i="23"/>
  <c r="D16" i="23"/>
  <c r="E16" i="23"/>
  <c r="B17" i="23"/>
  <c r="C17" i="23"/>
  <c r="D17" i="23"/>
  <c r="E17" i="23"/>
  <c r="B18" i="23"/>
  <c r="C18" i="23"/>
  <c r="D18" i="23"/>
  <c r="E18" i="23"/>
  <c r="B19" i="23"/>
  <c r="C19" i="23"/>
  <c r="D19" i="23"/>
  <c r="E19" i="23"/>
  <c r="B20" i="23"/>
  <c r="C20" i="23"/>
  <c r="D20" i="23"/>
  <c r="E20" i="23"/>
  <c r="B21" i="23"/>
  <c r="C21" i="23"/>
  <c r="D21" i="23"/>
  <c r="E21" i="23"/>
  <c r="B22" i="23"/>
  <c r="C22" i="23"/>
  <c r="D22" i="23"/>
  <c r="E22" i="23"/>
  <c r="B23" i="23"/>
  <c r="C23" i="23"/>
  <c r="D23" i="23"/>
  <c r="E23" i="23"/>
  <c r="B13" i="24"/>
  <c r="C13" i="24"/>
  <c r="D13" i="24"/>
  <c r="E13" i="24"/>
  <c r="B14" i="24"/>
  <c r="C14" i="24"/>
  <c r="D14" i="24"/>
  <c r="E14" i="24"/>
  <c r="B15" i="24"/>
  <c r="C15" i="24"/>
  <c r="D15" i="24"/>
  <c r="E15" i="24"/>
  <c r="B16" i="24"/>
  <c r="C16" i="24"/>
  <c r="D16" i="24"/>
  <c r="E16" i="24"/>
  <c r="B17" i="24"/>
  <c r="C17" i="24"/>
  <c r="D17" i="24"/>
  <c r="E17" i="24"/>
  <c r="B18" i="24"/>
  <c r="C18" i="24"/>
  <c r="D18" i="24"/>
  <c r="E18" i="24"/>
  <c r="B19" i="24"/>
  <c r="C19" i="24"/>
  <c r="D19" i="24"/>
  <c r="E19" i="24"/>
  <c r="B20" i="24"/>
  <c r="C20" i="24"/>
  <c r="D20" i="24"/>
  <c r="E20" i="24"/>
  <c r="B21" i="24"/>
  <c r="C21" i="24"/>
  <c r="D21" i="24"/>
  <c r="E21" i="24"/>
  <c r="B22" i="24"/>
  <c r="C22" i="24"/>
  <c r="D22" i="24"/>
  <c r="E22" i="24"/>
  <c r="B23" i="24"/>
  <c r="C23" i="24"/>
  <c r="D23" i="24"/>
  <c r="E23" i="24"/>
  <c r="B13" i="21"/>
  <c r="C13" i="21"/>
  <c r="D13" i="21"/>
  <c r="E13" i="21"/>
  <c r="B14" i="21"/>
  <c r="C14" i="21"/>
  <c r="D14" i="21"/>
  <c r="E14" i="21"/>
  <c r="B15" i="21"/>
  <c r="C15" i="21"/>
  <c r="D15" i="21"/>
  <c r="E15" i="21"/>
  <c r="B16" i="21"/>
  <c r="C16" i="21"/>
  <c r="D16" i="21"/>
  <c r="E16" i="21"/>
  <c r="B17" i="21"/>
  <c r="C17" i="21"/>
  <c r="D17" i="21"/>
  <c r="E17" i="21"/>
  <c r="B18" i="21"/>
  <c r="C18" i="21"/>
  <c r="D18" i="21"/>
  <c r="E18" i="21"/>
  <c r="B19" i="21"/>
  <c r="C19" i="21"/>
  <c r="D19" i="21"/>
  <c r="E19" i="21"/>
  <c r="B20" i="21"/>
  <c r="C20" i="21"/>
  <c r="D20" i="21"/>
  <c r="E20" i="21"/>
  <c r="B21" i="21"/>
  <c r="C21" i="21"/>
  <c r="D21" i="21"/>
  <c r="E21" i="21"/>
  <c r="B22" i="21"/>
  <c r="C22" i="21"/>
  <c r="D22" i="21"/>
  <c r="E22" i="21"/>
  <c r="B23" i="21"/>
  <c r="C23" i="21"/>
  <c r="D23" i="21"/>
  <c r="E23" i="21"/>
  <c r="D11" i="25"/>
  <c r="D12" i="25"/>
  <c r="D13" i="25"/>
  <c r="D14" i="25"/>
  <c r="D15" i="25"/>
  <c r="D16" i="25"/>
  <c r="D17" i="25"/>
  <c r="D18" i="25"/>
  <c r="D19" i="25"/>
  <c r="D20" i="25"/>
  <c r="D21" i="25"/>
  <c r="D10" i="25"/>
  <c r="D31" i="25"/>
  <c r="D27" i="25"/>
  <c r="D12" i="23"/>
  <c r="D12" i="24"/>
  <c r="D12" i="22"/>
  <c r="D12" i="21"/>
  <c r="M67" i="1"/>
  <c r="M113" i="1"/>
  <c r="M67" i="22"/>
  <c r="M67" i="23"/>
  <c r="M67" i="24"/>
  <c r="M67" i="21"/>
  <c r="M74" i="22"/>
  <c r="M74" i="23"/>
  <c r="M74" i="24"/>
  <c r="M74" i="21"/>
  <c r="M81" i="22"/>
  <c r="M81" i="23"/>
  <c r="M81" i="24"/>
  <c r="M81" i="21"/>
  <c r="M86" i="22"/>
  <c r="M86" i="23"/>
  <c r="M86" i="24"/>
  <c r="M86" i="21"/>
  <c r="M113" i="22"/>
  <c r="M113" i="23"/>
  <c r="M113" i="24"/>
  <c r="M113" i="21"/>
  <c r="M74" i="1"/>
  <c r="M81" i="1"/>
  <c r="M86" i="1"/>
  <c r="AH11" i="31"/>
  <c r="C78" i="21"/>
  <c r="C79" i="21"/>
  <c r="C80" i="21"/>
  <c r="C78" i="22"/>
  <c r="C79" i="22"/>
  <c r="C80" i="22"/>
  <c r="C78" i="23"/>
  <c r="C79" i="23"/>
  <c r="C80" i="23"/>
  <c r="C78" i="24"/>
  <c r="C79" i="24"/>
  <c r="C80" i="24"/>
  <c r="B70" i="25"/>
  <c r="C70" i="25"/>
  <c r="B71" i="25"/>
  <c r="C71" i="25"/>
  <c r="C69" i="25"/>
  <c r="B69" i="25"/>
  <c r="C68" i="25"/>
  <c r="B68" i="25"/>
  <c r="C77" i="21"/>
  <c r="C77" i="22"/>
  <c r="C77" i="23"/>
  <c r="C77" i="24"/>
  <c r="C2" i="1" l="1"/>
  <c r="C3" i="1" s="1"/>
  <c r="H37" i="23"/>
  <c r="K37" i="21"/>
  <c r="H22" i="14"/>
  <c r="H38" i="14"/>
  <c r="C38" i="14" s="1"/>
  <c r="H41" i="14"/>
  <c r="C41" i="14" s="1"/>
  <c r="H30" i="14"/>
  <c r="C30" i="14" s="1"/>
  <c r="H13" i="14"/>
  <c r="C13" i="14" s="1"/>
  <c r="H31" i="14"/>
  <c r="C31" i="14" s="1"/>
  <c r="H20" i="14"/>
  <c r="C20" i="14" s="1"/>
  <c r="H39" i="14"/>
  <c r="C39" i="14" s="1"/>
  <c r="H47" i="14"/>
  <c r="C47" i="14" s="1"/>
  <c r="H49" i="14"/>
  <c r="C49" i="14" s="1"/>
  <c r="H32" i="14"/>
  <c r="C32" i="14" s="1"/>
  <c r="H50" i="14"/>
  <c r="C50" i="14" s="1"/>
  <c r="H14" i="14"/>
  <c r="C14" i="14" s="1"/>
  <c r="H21" i="14"/>
  <c r="C21" i="14" s="1"/>
  <c r="H29" i="14"/>
  <c r="C29" i="14" s="1"/>
  <c r="C48" i="14"/>
  <c r="H12" i="14"/>
  <c r="C12" i="14" s="1"/>
  <c r="H23" i="14"/>
  <c r="C23" i="14" s="1"/>
  <c r="H40" i="14"/>
  <c r="C40" i="14" s="1"/>
  <c r="C22" i="14"/>
  <c r="P57" i="28"/>
  <c r="P56" i="28"/>
  <c r="P54" i="28"/>
  <c r="P53" i="28"/>
  <c r="P52" i="28"/>
  <c r="B81" i="25"/>
  <c r="B82" i="25"/>
  <c r="B84" i="25"/>
  <c r="B85" i="25"/>
  <c r="B86" i="25"/>
  <c r="B87" i="25"/>
  <c r="B88" i="25"/>
  <c r="B89" i="25"/>
  <c r="B90" i="25"/>
  <c r="B91" i="25"/>
  <c r="B93" i="25"/>
  <c r="B94" i="25"/>
  <c r="B95" i="25"/>
  <c r="B96" i="25"/>
  <c r="B97" i="25"/>
  <c r="B98" i="25"/>
  <c r="B99" i="25"/>
  <c r="B100" i="25"/>
  <c r="B101" i="25"/>
  <c r="B102" i="25"/>
  <c r="B103" i="25"/>
  <c r="J81" i="25"/>
  <c r="J82" i="25"/>
  <c r="J83" i="25"/>
  <c r="J84" i="25"/>
  <c r="J85" i="25"/>
  <c r="J86" i="25"/>
  <c r="J87" i="25"/>
  <c r="J88" i="25"/>
  <c r="J89" i="25"/>
  <c r="J90" i="25"/>
  <c r="J91" i="25"/>
  <c r="J92" i="25"/>
  <c r="J93" i="25"/>
  <c r="J94" i="25"/>
  <c r="J95" i="25"/>
  <c r="J96" i="25"/>
  <c r="J97" i="25"/>
  <c r="J98" i="25"/>
  <c r="J99" i="25"/>
  <c r="J100" i="25"/>
  <c r="J101" i="25"/>
  <c r="J102" i="25"/>
  <c r="J103" i="25"/>
  <c r="J80" i="25"/>
  <c r="N90" i="24"/>
  <c r="N91" i="24"/>
  <c r="N92" i="24"/>
  <c r="N93" i="24"/>
  <c r="N94" i="24"/>
  <c r="N95" i="24"/>
  <c r="N96" i="24"/>
  <c r="N97" i="24"/>
  <c r="N98" i="24"/>
  <c r="N99" i="24"/>
  <c r="N100" i="24"/>
  <c r="N101" i="24"/>
  <c r="N102" i="24"/>
  <c r="N103" i="24"/>
  <c r="N104" i="24"/>
  <c r="N105" i="24"/>
  <c r="N106" i="24"/>
  <c r="N107" i="24"/>
  <c r="N108" i="24"/>
  <c r="N109" i="24"/>
  <c r="N110" i="24"/>
  <c r="N111" i="24"/>
  <c r="N112" i="24"/>
  <c r="N90" i="23"/>
  <c r="N91" i="23"/>
  <c r="N92" i="23"/>
  <c r="N93" i="23"/>
  <c r="N94" i="23"/>
  <c r="N95" i="23"/>
  <c r="N96" i="23"/>
  <c r="N97" i="23"/>
  <c r="N98" i="23"/>
  <c r="N99" i="23"/>
  <c r="N100" i="23"/>
  <c r="N101" i="23"/>
  <c r="N102" i="23"/>
  <c r="N103" i="23"/>
  <c r="N104" i="23"/>
  <c r="N105" i="23"/>
  <c r="N106" i="23"/>
  <c r="N107" i="23"/>
  <c r="N108" i="23"/>
  <c r="N109" i="23"/>
  <c r="N110" i="23"/>
  <c r="N111" i="23"/>
  <c r="N112" i="23"/>
  <c r="N90" i="22"/>
  <c r="N91" i="22"/>
  <c r="N92" i="22"/>
  <c r="N93" i="22"/>
  <c r="N94" i="22"/>
  <c r="N95" i="22"/>
  <c r="N96" i="22"/>
  <c r="N97" i="22"/>
  <c r="N98" i="22"/>
  <c r="N99" i="22"/>
  <c r="N100" i="22"/>
  <c r="N101" i="22"/>
  <c r="N102" i="22"/>
  <c r="N103" i="22"/>
  <c r="N104" i="22"/>
  <c r="N105" i="22"/>
  <c r="N106" i="22"/>
  <c r="N107" i="22"/>
  <c r="N108" i="22"/>
  <c r="N109" i="22"/>
  <c r="N110" i="22"/>
  <c r="N111" i="22"/>
  <c r="N112" i="22"/>
  <c r="N90" i="21"/>
  <c r="N91" i="21"/>
  <c r="N92" i="21"/>
  <c r="N93" i="21"/>
  <c r="N94" i="21"/>
  <c r="N95" i="21"/>
  <c r="N96" i="21"/>
  <c r="N97" i="21"/>
  <c r="N98" i="21"/>
  <c r="N99" i="21"/>
  <c r="N100" i="21"/>
  <c r="N101" i="21"/>
  <c r="N102" i="21"/>
  <c r="N103" i="21"/>
  <c r="N104" i="21"/>
  <c r="N105" i="21"/>
  <c r="N106" i="21"/>
  <c r="N107" i="21"/>
  <c r="N108" i="21"/>
  <c r="N109" i="21"/>
  <c r="N110" i="21"/>
  <c r="N111" i="21"/>
  <c r="N112" i="21"/>
  <c r="N112" i="1"/>
  <c r="N90" i="1"/>
  <c r="N91" i="1"/>
  <c r="N92" i="1"/>
  <c r="N93" i="1"/>
  <c r="N94" i="1"/>
  <c r="N95" i="1"/>
  <c r="N96" i="1"/>
  <c r="N97" i="1"/>
  <c r="N98" i="1"/>
  <c r="N99" i="1"/>
  <c r="N100" i="1"/>
  <c r="N101" i="1"/>
  <c r="N102" i="1"/>
  <c r="N103" i="1"/>
  <c r="N104" i="1"/>
  <c r="N105" i="1"/>
  <c r="N106" i="1"/>
  <c r="N107" i="1"/>
  <c r="N108" i="1"/>
  <c r="N109" i="1"/>
  <c r="N110" i="1"/>
  <c r="N111" i="1"/>
  <c r="N89" i="21"/>
  <c r="N89" i="22"/>
  <c r="N89" i="23"/>
  <c r="N89" i="24"/>
  <c r="N89" i="1"/>
  <c r="C2" i="21" l="1"/>
  <c r="C3" i="21"/>
  <c r="C3" i="22" s="1"/>
  <c r="C3" i="23" s="1"/>
  <c r="C3" i="24" s="1"/>
  <c r="H37" i="24"/>
  <c r="K83" i="25"/>
  <c r="K97" i="25"/>
  <c r="K96" i="25"/>
  <c r="K80" i="25"/>
  <c r="K99" i="25"/>
  <c r="K102" i="25"/>
  <c r="K85" i="25"/>
  <c r="K94" i="25"/>
  <c r="K91" i="25"/>
  <c r="K90" i="25"/>
  <c r="K82" i="25"/>
  <c r="K103" i="25"/>
  <c r="K100" i="25"/>
  <c r="K88" i="25"/>
  <c r="K87" i="25"/>
  <c r="K98" i="25"/>
  <c r="K86" i="25"/>
  <c r="K84" i="25"/>
  <c r="K101" i="25"/>
  <c r="K89" i="25"/>
  <c r="K95" i="25"/>
  <c r="K93" i="25"/>
  <c r="K81" i="25"/>
  <c r="K92" i="25"/>
  <c r="N113" i="23"/>
  <c r="N113" i="24"/>
  <c r="N113" i="22"/>
  <c r="N113" i="1"/>
  <c r="N113" i="21"/>
  <c r="J104" i="25"/>
  <c r="H9" i="28"/>
  <c r="C2" i="22" l="1"/>
  <c r="C2" i="23" s="1"/>
  <c r="C2" i="24" s="1"/>
  <c r="K104" i="25"/>
  <c r="C3" i="33"/>
  <c r="C2" i="33"/>
  <c r="C4" i="33"/>
  <c r="L2" i="33"/>
  <c r="G2" i="33"/>
  <c r="D52" i="25"/>
  <c r="C52" i="25"/>
  <c r="C51" i="25"/>
  <c r="B51" i="25"/>
  <c r="C50" i="25"/>
  <c r="B50" i="25"/>
  <c r="C66" i="24"/>
  <c r="B66" i="24"/>
  <c r="C65" i="24"/>
  <c r="B65" i="24"/>
  <c r="B72" i="24"/>
  <c r="C72" i="24"/>
  <c r="C71" i="24"/>
  <c r="B71" i="24"/>
  <c r="C70" i="24"/>
  <c r="B70" i="24"/>
  <c r="C85" i="24"/>
  <c r="B85" i="24"/>
  <c r="C84" i="24"/>
  <c r="B84" i="24"/>
  <c r="C66" i="23"/>
  <c r="B66" i="23"/>
  <c r="C65" i="23"/>
  <c r="B65" i="23"/>
  <c r="B72" i="23"/>
  <c r="C72" i="23"/>
  <c r="C71" i="23"/>
  <c r="B71" i="23"/>
  <c r="C70" i="23"/>
  <c r="B70" i="23"/>
  <c r="C85" i="23"/>
  <c r="B85" i="23"/>
  <c r="C84" i="23"/>
  <c r="B84" i="23"/>
  <c r="C66" i="22"/>
  <c r="B66" i="22"/>
  <c r="C65" i="22"/>
  <c r="B65" i="22"/>
  <c r="B72" i="22"/>
  <c r="C72" i="22"/>
  <c r="C71" i="22"/>
  <c r="B71" i="22"/>
  <c r="C70" i="22"/>
  <c r="B70" i="22"/>
  <c r="C85" i="22"/>
  <c r="B85" i="22"/>
  <c r="C84" i="22"/>
  <c r="B84" i="22"/>
  <c r="C60" i="21"/>
  <c r="B60" i="21"/>
  <c r="C59" i="21"/>
  <c r="B59" i="21"/>
  <c r="C66" i="21"/>
  <c r="B66" i="21"/>
  <c r="C65" i="21"/>
  <c r="B65" i="21"/>
  <c r="B72" i="21"/>
  <c r="C72" i="21"/>
  <c r="C71" i="21"/>
  <c r="B71" i="21"/>
  <c r="C70" i="21"/>
  <c r="B70" i="21"/>
  <c r="C85" i="21"/>
  <c r="B85" i="21"/>
  <c r="C84" i="21"/>
  <c r="B84" i="21"/>
  <c r="C57" i="25"/>
  <c r="B57" i="25"/>
  <c r="C56" i="25"/>
  <c r="B56" i="25"/>
  <c r="C63" i="25"/>
  <c r="B63" i="25"/>
  <c r="C62" i="25"/>
  <c r="B62" i="25"/>
  <c r="C61" i="25"/>
  <c r="B61" i="25"/>
  <c r="C76" i="25"/>
  <c r="B76" i="25"/>
  <c r="C75" i="25"/>
  <c r="B75" i="25"/>
  <c r="N11" i="14"/>
  <c r="H25" i="9"/>
  <c r="H12" i="9"/>
  <c r="V20" i="31"/>
  <c r="V10" i="31"/>
  <c r="P23" i="31"/>
  <c r="P10" i="31"/>
  <c r="B12" i="21"/>
  <c r="C2" i="25"/>
  <c r="F69" i="25"/>
  <c r="F70" i="25"/>
  <c r="F71" i="25"/>
  <c r="F68" i="25"/>
  <c r="F78" i="22"/>
  <c r="F79" i="22"/>
  <c r="F80" i="22"/>
  <c r="F78" i="23"/>
  <c r="F79" i="23"/>
  <c r="F80" i="23"/>
  <c r="F78" i="24"/>
  <c r="F79" i="24"/>
  <c r="F80" i="24"/>
  <c r="F78" i="21"/>
  <c r="F79" i="21"/>
  <c r="F80" i="21"/>
  <c r="F77" i="22"/>
  <c r="F77" i="23"/>
  <c r="F77" i="24"/>
  <c r="F77" i="21"/>
  <c r="N38" i="21"/>
  <c r="R38" i="21" s="1"/>
  <c r="N37" i="21"/>
  <c r="R37" i="21" s="1"/>
  <c r="H31" i="21"/>
  <c r="I31" i="21" s="1"/>
  <c r="I30" i="21"/>
  <c r="L77" i="1"/>
  <c r="L78" i="1"/>
  <c r="L79" i="1"/>
  <c r="N85" i="24"/>
  <c r="N84" i="24"/>
  <c r="N80" i="24"/>
  <c r="N79" i="24"/>
  <c r="N78" i="24"/>
  <c r="N77" i="24"/>
  <c r="N72" i="24"/>
  <c r="N73" i="24"/>
  <c r="N71" i="24"/>
  <c r="N70" i="24"/>
  <c r="N66" i="24"/>
  <c r="N65" i="24"/>
  <c r="N85" i="23"/>
  <c r="N84" i="23"/>
  <c r="N80" i="23"/>
  <c r="N79" i="23"/>
  <c r="N78" i="23"/>
  <c r="N77" i="23"/>
  <c r="N72" i="23"/>
  <c r="N73" i="23"/>
  <c r="N71" i="23"/>
  <c r="N70" i="23"/>
  <c r="N66" i="23"/>
  <c r="N65" i="23"/>
  <c r="N85" i="22"/>
  <c r="N84" i="22"/>
  <c r="N80" i="22"/>
  <c r="N79" i="22"/>
  <c r="N78" i="22"/>
  <c r="N77" i="22"/>
  <c r="N72" i="22"/>
  <c r="N73" i="22"/>
  <c r="N71" i="22"/>
  <c r="N70" i="22"/>
  <c r="N66" i="22"/>
  <c r="N65" i="22"/>
  <c r="N85" i="21"/>
  <c r="N84" i="21"/>
  <c r="N80" i="21"/>
  <c r="N79" i="21"/>
  <c r="N78" i="21"/>
  <c r="N77" i="21"/>
  <c r="N73" i="21"/>
  <c r="N72" i="21"/>
  <c r="N71" i="21"/>
  <c r="N70" i="21"/>
  <c r="N66" i="21"/>
  <c r="N65" i="21"/>
  <c r="N60" i="21"/>
  <c r="N61" i="21"/>
  <c r="N59" i="21"/>
  <c r="N85" i="1"/>
  <c r="N84" i="1"/>
  <c r="N80" i="1"/>
  <c r="N79" i="1"/>
  <c r="N78" i="1"/>
  <c r="N77" i="1"/>
  <c r="N72" i="1"/>
  <c r="N73" i="1"/>
  <c r="N71" i="1"/>
  <c r="N70" i="1"/>
  <c r="N66" i="1"/>
  <c r="N65" i="1"/>
  <c r="N60" i="1"/>
  <c r="N61" i="1"/>
  <c r="N59" i="1"/>
  <c r="AU63" i="30"/>
  <c r="AU64" i="30"/>
  <c r="AU65" i="30"/>
  <c r="AU62" i="30"/>
  <c r="AV66" i="30"/>
  <c r="AL63" i="30"/>
  <c r="AL64" i="30"/>
  <c r="AL65" i="30"/>
  <c r="AL62" i="30"/>
  <c r="AM66" i="30"/>
  <c r="AC63" i="30"/>
  <c r="AC64" i="30"/>
  <c r="AC65" i="30"/>
  <c r="AC62" i="30"/>
  <c r="AD66" i="30"/>
  <c r="T63" i="30"/>
  <c r="T64" i="30"/>
  <c r="T65" i="30"/>
  <c r="K63" i="30"/>
  <c r="K64" i="30"/>
  <c r="K65" i="30"/>
  <c r="T62" i="30"/>
  <c r="U66" i="30"/>
  <c r="K62" i="30"/>
  <c r="L66" i="30"/>
  <c r="O11" i="14" l="1"/>
  <c r="C11" i="14" s="1"/>
  <c r="N74" i="22"/>
  <c r="N74" i="24"/>
  <c r="N62" i="1"/>
  <c r="N67" i="21"/>
  <c r="N86" i="1"/>
  <c r="N67" i="1"/>
  <c r="N81" i="23"/>
  <c r="N86" i="21"/>
  <c r="N67" i="24"/>
  <c r="N74" i="23"/>
  <c r="N67" i="22"/>
  <c r="N86" i="24"/>
  <c r="N81" i="21"/>
  <c r="N81" i="22"/>
  <c r="N62" i="21"/>
  <c r="N81" i="24"/>
  <c r="N74" i="1"/>
  <c r="N86" i="22"/>
  <c r="N86" i="23"/>
  <c r="N81" i="1"/>
  <c r="N74" i="21"/>
  <c r="N67" i="23"/>
  <c r="B52" i="25"/>
  <c r="K30" i="21"/>
  <c r="K31" i="21"/>
  <c r="AL66" i="30"/>
  <c r="AC66" i="30"/>
  <c r="K66" i="30"/>
  <c r="AU66" i="30"/>
  <c r="T66" i="30"/>
  <c r="K39" i="21" l="1"/>
  <c r="H46" i="28" s="1"/>
  <c r="J69" i="25"/>
  <c r="J71" i="25"/>
  <c r="J68" i="25"/>
  <c r="L78" i="22"/>
  <c r="L80" i="22"/>
  <c r="L77" i="22"/>
  <c r="L78" i="23"/>
  <c r="L80" i="23"/>
  <c r="L77" i="23"/>
  <c r="L78" i="24"/>
  <c r="L80" i="24"/>
  <c r="L77" i="24"/>
  <c r="L78" i="21"/>
  <c r="L79" i="21"/>
  <c r="L80" i="21"/>
  <c r="L77" i="21"/>
  <c r="L80" i="1"/>
  <c r="L81" i="1" l="1"/>
  <c r="L81" i="21"/>
  <c r="K68" i="25"/>
  <c r="K70" i="25"/>
  <c r="K69" i="25"/>
  <c r="I69" i="25"/>
  <c r="I71" i="25"/>
  <c r="I68" i="25"/>
  <c r="K71" i="25" l="1"/>
  <c r="K72" i="25" s="1"/>
  <c r="F10" i="25" l="1"/>
  <c r="AQ17" i="30"/>
  <c r="AQ16" i="30"/>
  <c r="AQ15" i="30"/>
  <c r="AQ14" i="30"/>
  <c r="AQ13" i="30"/>
  <c r="AQ12" i="30"/>
  <c r="AQ11" i="30"/>
  <c r="AQ10" i="30"/>
  <c r="AQ9" i="30"/>
  <c r="AQ8" i="30"/>
  <c r="AQ7" i="30"/>
  <c r="AQ6" i="30"/>
  <c r="AH17" i="30"/>
  <c r="AH16" i="30"/>
  <c r="AH15" i="30"/>
  <c r="AH14" i="30"/>
  <c r="AH13" i="30"/>
  <c r="AH12" i="30"/>
  <c r="AH11" i="30"/>
  <c r="AH10" i="30"/>
  <c r="AH9" i="30"/>
  <c r="AH8" i="30"/>
  <c r="AH7" i="30"/>
  <c r="AH6" i="30"/>
  <c r="Y17" i="30"/>
  <c r="Y16" i="30"/>
  <c r="Y15" i="30"/>
  <c r="Y14" i="30"/>
  <c r="Y13" i="30"/>
  <c r="Y12" i="30"/>
  <c r="Y11" i="30"/>
  <c r="Y10" i="30"/>
  <c r="Y9" i="30"/>
  <c r="Y8" i="30"/>
  <c r="Y7" i="30"/>
  <c r="Y6" i="30"/>
  <c r="P17" i="30"/>
  <c r="P16" i="30"/>
  <c r="P15" i="30"/>
  <c r="P14" i="30"/>
  <c r="P13" i="30"/>
  <c r="P12" i="30"/>
  <c r="P11" i="30"/>
  <c r="P10" i="30"/>
  <c r="P9" i="30"/>
  <c r="P8" i="30"/>
  <c r="P7" i="30"/>
  <c r="P6" i="30"/>
  <c r="G17" i="30"/>
  <c r="G16" i="30"/>
  <c r="G15" i="30"/>
  <c r="G14" i="30"/>
  <c r="G13" i="30"/>
  <c r="G12" i="30"/>
  <c r="G11" i="30"/>
  <c r="G10" i="30"/>
  <c r="G9" i="30"/>
  <c r="G8" i="30"/>
  <c r="G7" i="30"/>
  <c r="G6" i="30"/>
  <c r="H23" i="24"/>
  <c r="H22" i="24"/>
  <c r="H21" i="24"/>
  <c r="H20" i="24"/>
  <c r="H19" i="24"/>
  <c r="H18" i="24"/>
  <c r="H17" i="24"/>
  <c r="H16" i="24"/>
  <c r="H15" i="24"/>
  <c r="H14" i="24"/>
  <c r="H13" i="24"/>
  <c r="H12" i="24"/>
  <c r="H23" i="23"/>
  <c r="H22" i="23"/>
  <c r="H21" i="23"/>
  <c r="H20" i="23"/>
  <c r="H19" i="23"/>
  <c r="H18" i="23"/>
  <c r="H17" i="23"/>
  <c r="H16" i="23"/>
  <c r="H15" i="23"/>
  <c r="H14" i="23"/>
  <c r="H13" i="23"/>
  <c r="H12" i="23"/>
  <c r="H23" i="22"/>
  <c r="H22" i="22"/>
  <c r="H21" i="22"/>
  <c r="H20" i="22"/>
  <c r="H19" i="22"/>
  <c r="H18" i="22"/>
  <c r="H17" i="22"/>
  <c r="H16" i="22"/>
  <c r="H15" i="22"/>
  <c r="H14" i="22"/>
  <c r="H13" i="22"/>
  <c r="H12" i="22"/>
  <c r="H13" i="21"/>
  <c r="H14" i="21"/>
  <c r="H15" i="21"/>
  <c r="H16" i="21"/>
  <c r="H17" i="21"/>
  <c r="H18" i="21"/>
  <c r="H19" i="21"/>
  <c r="H20" i="21"/>
  <c r="H21" i="21"/>
  <c r="H22" i="21"/>
  <c r="H23" i="21"/>
  <c r="H12" i="21"/>
  <c r="B7" i="30"/>
  <c r="B8" i="30"/>
  <c r="B9" i="30"/>
  <c r="B10" i="30"/>
  <c r="B11" i="30"/>
  <c r="B12" i="30"/>
  <c r="B13" i="30"/>
  <c r="B14" i="30"/>
  <c r="B15" i="30"/>
  <c r="B16" i="30"/>
  <c r="B17" i="30"/>
  <c r="B6" i="30"/>
  <c r="A7" i="30"/>
  <c r="A8" i="30"/>
  <c r="A9" i="30"/>
  <c r="A10" i="30"/>
  <c r="A11" i="30"/>
  <c r="A12" i="30"/>
  <c r="A13" i="30"/>
  <c r="A14" i="30"/>
  <c r="A15" i="30"/>
  <c r="A16" i="30"/>
  <c r="A17" i="30"/>
  <c r="A6" i="30"/>
  <c r="H13" i="1"/>
  <c r="H14" i="1"/>
  <c r="H15" i="1"/>
  <c r="H16" i="1"/>
  <c r="H17" i="1"/>
  <c r="H18" i="1"/>
  <c r="H19" i="1"/>
  <c r="H20" i="1"/>
  <c r="H21" i="1"/>
  <c r="H22" i="1"/>
  <c r="H23" i="1"/>
  <c r="H12" i="1"/>
  <c r="B12" i="22"/>
  <c r="B12" i="23"/>
  <c r="B12" i="24"/>
  <c r="C26" i="30"/>
  <c r="N5" i="9"/>
  <c r="N6" i="9"/>
  <c r="N12" i="9"/>
  <c r="I12" i="9"/>
  <c r="J12" i="9"/>
  <c r="K12" i="9"/>
  <c r="L12" i="9"/>
  <c r="N13" i="9"/>
  <c r="G17" i="9"/>
  <c r="H17" i="9"/>
  <c r="K17" i="9"/>
  <c r="L17" i="9"/>
  <c r="N20" i="9"/>
  <c r="G25" i="9"/>
  <c r="I25" i="9"/>
  <c r="J25" i="9"/>
  <c r="K25" i="9"/>
  <c r="L25" i="9"/>
  <c r="C12" i="24"/>
  <c r="C12" i="23"/>
  <c r="C12" i="22"/>
  <c r="C12" i="21"/>
  <c r="J12" i="21"/>
  <c r="J12" i="22" s="1"/>
  <c r="J12" i="23" s="1"/>
  <c r="J12" i="24" s="1"/>
  <c r="AA7" i="26"/>
  <c r="P34" i="31"/>
  <c r="J56" i="25"/>
  <c r="F37" i="25"/>
  <c r="F38" i="25"/>
  <c r="F39" i="25"/>
  <c r="F36" i="25"/>
  <c r="I30" i="22"/>
  <c r="I30" i="23"/>
  <c r="I30" i="24"/>
  <c r="I30" i="1"/>
  <c r="J63" i="25"/>
  <c r="J64" i="25"/>
  <c r="J62" i="25"/>
  <c r="J61" i="25"/>
  <c r="J76" i="25"/>
  <c r="J75" i="25"/>
  <c r="J57" i="25"/>
  <c r="J52" i="25"/>
  <c r="N61" i="24"/>
  <c r="N60" i="24"/>
  <c r="N59" i="24"/>
  <c r="N61" i="23"/>
  <c r="N60" i="23"/>
  <c r="N59" i="23"/>
  <c r="N61" i="22"/>
  <c r="N60" i="22"/>
  <c r="N59" i="22"/>
  <c r="AV47" i="30"/>
  <c r="AM47" i="30"/>
  <c r="AD47" i="30"/>
  <c r="U47" i="30"/>
  <c r="AQ22" i="30"/>
  <c r="AQ21" i="30"/>
  <c r="AH22" i="30"/>
  <c r="AH21" i="30"/>
  <c r="Y22" i="30"/>
  <c r="Y21" i="30"/>
  <c r="P22" i="30"/>
  <c r="P21" i="30"/>
  <c r="G22" i="30"/>
  <c r="J22" i="30" s="1"/>
  <c r="N31" i="21" s="1"/>
  <c r="R31" i="21" s="1"/>
  <c r="G21" i="30"/>
  <c r="J21" i="30" s="1"/>
  <c r="N30" i="21" s="1"/>
  <c r="G42" i="25"/>
  <c r="G41" i="25"/>
  <c r="F11" i="25"/>
  <c r="F12" i="25"/>
  <c r="F13" i="25"/>
  <c r="F14" i="25"/>
  <c r="F15" i="25"/>
  <c r="F16" i="25"/>
  <c r="F17" i="25"/>
  <c r="F18" i="25"/>
  <c r="F19" i="25"/>
  <c r="F20" i="25"/>
  <c r="F21" i="25"/>
  <c r="D38" i="24"/>
  <c r="D37" i="24"/>
  <c r="D31" i="24"/>
  <c r="D30" i="24"/>
  <c r="D38" i="23"/>
  <c r="D37" i="23"/>
  <c r="D31" i="23"/>
  <c r="D30" i="23"/>
  <c r="D38" i="22"/>
  <c r="D37" i="22"/>
  <c r="D31" i="22"/>
  <c r="D30" i="22"/>
  <c r="K46" i="21"/>
  <c r="K47" i="21"/>
  <c r="K48" i="21"/>
  <c r="K46" i="22"/>
  <c r="K47" i="22"/>
  <c r="K48" i="22"/>
  <c r="K46" i="23"/>
  <c r="K47" i="23"/>
  <c r="K48" i="23"/>
  <c r="K46" i="24"/>
  <c r="K47" i="24"/>
  <c r="K48" i="24"/>
  <c r="K46" i="1"/>
  <c r="K47" i="1"/>
  <c r="K48" i="1"/>
  <c r="K45" i="21"/>
  <c r="K45" i="22"/>
  <c r="K45" i="23"/>
  <c r="K45" i="24"/>
  <c r="K45" i="1"/>
  <c r="K22" i="30" l="1"/>
  <c r="K21" i="30"/>
  <c r="L31" i="21"/>
  <c r="M31" i="21" s="1"/>
  <c r="L30" i="21"/>
  <c r="L31" i="1"/>
  <c r="L48" i="24"/>
  <c r="L48" i="22"/>
  <c r="L37" i="1"/>
  <c r="AU30" i="30"/>
  <c r="AC30" i="30"/>
  <c r="T30" i="30"/>
  <c r="L47" i="24"/>
  <c r="L47" i="22"/>
  <c r="AL36" i="30"/>
  <c r="AM36" i="30" s="1"/>
  <c r="K36" i="30"/>
  <c r="L51" i="1"/>
  <c r="L46" i="24"/>
  <c r="L46" i="22"/>
  <c r="AL35" i="30"/>
  <c r="AM35" i="30" s="1"/>
  <c r="K35" i="30"/>
  <c r="L35" i="30" s="1"/>
  <c r="L45" i="24"/>
  <c r="L45" i="22"/>
  <c r="AL33" i="30"/>
  <c r="K33" i="30"/>
  <c r="L51" i="23"/>
  <c r="M51" i="23" s="1"/>
  <c r="L51" i="21"/>
  <c r="L38" i="21"/>
  <c r="AL32" i="30"/>
  <c r="K32" i="30"/>
  <c r="L50" i="23"/>
  <c r="M50" i="23" s="1"/>
  <c r="L50" i="21"/>
  <c r="M50" i="21" s="1"/>
  <c r="L37" i="21"/>
  <c r="AL31" i="30"/>
  <c r="K31" i="30"/>
  <c r="L48" i="23"/>
  <c r="L48" i="21"/>
  <c r="L50" i="1"/>
  <c r="M50" i="1" s="1"/>
  <c r="AL30" i="30"/>
  <c r="K30" i="30"/>
  <c r="L47" i="23"/>
  <c r="L47" i="21"/>
  <c r="L46" i="1"/>
  <c r="AU36" i="30"/>
  <c r="AV36" i="30" s="1"/>
  <c r="AC36" i="30"/>
  <c r="AD36" i="30" s="1"/>
  <c r="T36" i="30"/>
  <c r="U36" i="30" s="1"/>
  <c r="L46" i="23"/>
  <c r="L46" i="21"/>
  <c r="L47" i="1"/>
  <c r="AU35" i="30"/>
  <c r="AV35" i="30" s="1"/>
  <c r="AC35" i="30"/>
  <c r="T35" i="30"/>
  <c r="L45" i="23"/>
  <c r="L45" i="21"/>
  <c r="L48" i="1"/>
  <c r="AU33" i="30"/>
  <c r="AC33" i="30"/>
  <c r="T31" i="30"/>
  <c r="L51" i="24"/>
  <c r="M51" i="24" s="1"/>
  <c r="L51" i="22"/>
  <c r="M51" i="22" s="1"/>
  <c r="L45" i="1"/>
  <c r="AU32" i="30"/>
  <c r="AC32" i="30"/>
  <c r="T32" i="30"/>
  <c r="L50" i="24"/>
  <c r="M50" i="24" s="1"/>
  <c r="L50" i="22"/>
  <c r="M50" i="22" s="1"/>
  <c r="L38" i="1"/>
  <c r="AU31" i="30"/>
  <c r="AC31" i="30"/>
  <c r="T33" i="30"/>
  <c r="K13" i="1"/>
  <c r="K12" i="21"/>
  <c r="K12" i="22"/>
  <c r="K12" i="23"/>
  <c r="K12" i="24"/>
  <c r="K14" i="1"/>
  <c r="K12" i="1"/>
  <c r="M62" i="1"/>
  <c r="F51" i="28" s="1"/>
  <c r="M62" i="24"/>
  <c r="N51" i="28" s="1"/>
  <c r="N62" i="23"/>
  <c r="M62" i="22"/>
  <c r="J51" i="28" s="1"/>
  <c r="M62" i="21"/>
  <c r="H51" i="28" s="1"/>
  <c r="N62" i="22"/>
  <c r="K52" i="23"/>
  <c r="M62" i="23"/>
  <c r="L51" i="28" s="1"/>
  <c r="N62" i="24"/>
  <c r="N39" i="21"/>
  <c r="R30" i="21"/>
  <c r="R39" i="21" s="1"/>
  <c r="K52" i="22"/>
  <c r="K52" i="24"/>
  <c r="N7" i="9"/>
  <c r="N14" i="9"/>
  <c r="AD35" i="30"/>
  <c r="U35" i="30"/>
  <c r="L36" i="30"/>
  <c r="M51" i="21"/>
  <c r="O31" i="21"/>
  <c r="O30" i="21"/>
  <c r="K52" i="21"/>
  <c r="K52" i="1"/>
  <c r="P48" i="28" s="1"/>
  <c r="M117" i="21"/>
  <c r="L47" i="30"/>
  <c r="K51" i="25"/>
  <c r="K52" i="25"/>
  <c r="J58" i="25"/>
  <c r="K50" i="25"/>
  <c r="J51" i="25"/>
  <c r="J50" i="25"/>
  <c r="AL11" i="30" l="1" a="1"/>
  <c r="AL11" i="30" s="1"/>
  <c r="AC9" i="30" a="1"/>
  <c r="AC9" i="30" s="1"/>
  <c r="T15" i="30" a="1"/>
  <c r="T15" i="30" s="1"/>
  <c r="L13" i="1" a="1"/>
  <c r="L13" i="1" s="1"/>
  <c r="L14" i="1" a="1"/>
  <c r="L14" i="1" s="1"/>
  <c r="L15" i="1" a="1"/>
  <c r="L15" i="1" s="1"/>
  <c r="L16" i="1" a="1"/>
  <c r="L16" i="1" s="1"/>
  <c r="L17" i="1" a="1"/>
  <c r="L17" i="1" s="1"/>
  <c r="L18" i="1" a="1"/>
  <c r="L18" i="1" s="1"/>
  <c r="L19" i="1" a="1"/>
  <c r="L19" i="1" s="1"/>
  <c r="L20" i="1" a="1"/>
  <c r="L20" i="1" s="1"/>
  <c r="L21" i="1" a="1"/>
  <c r="L21" i="1" s="1"/>
  <c r="L22" i="1" a="1"/>
  <c r="L22" i="1" s="1"/>
  <c r="L23" i="1" a="1"/>
  <c r="L23" i="1" s="1"/>
  <c r="K17" i="30" a="1"/>
  <c r="K17" i="30" s="1"/>
  <c r="K16" i="30" a="1"/>
  <c r="K16" i="30" s="1"/>
  <c r="K15" i="30" a="1"/>
  <c r="K15" i="30" s="1"/>
  <c r="K14" i="30" a="1"/>
  <c r="K14" i="30" s="1"/>
  <c r="K13" i="30" a="1"/>
  <c r="K13" i="30" s="1"/>
  <c r="K12" i="30" a="1"/>
  <c r="K12" i="30" s="1"/>
  <c r="K11" i="30" a="1"/>
  <c r="K11" i="30" s="1"/>
  <c r="K10" i="30" a="1"/>
  <c r="K10" i="30" s="1"/>
  <c r="K9" i="30" a="1"/>
  <c r="K9" i="30" s="1"/>
  <c r="T17" i="30" a="1"/>
  <c r="T17" i="30" s="1"/>
  <c r="T16" i="30" a="1"/>
  <c r="T16" i="30" s="1"/>
  <c r="T14" i="30" a="1"/>
  <c r="T14" i="30" s="1"/>
  <c r="T13" i="30" a="1"/>
  <c r="T13" i="30" s="1"/>
  <c r="T12" i="30" a="1"/>
  <c r="T12" i="30" s="1"/>
  <c r="T11" i="30" a="1"/>
  <c r="T11" i="30" s="1"/>
  <c r="T10" i="30" a="1"/>
  <c r="T10" i="30" s="1"/>
  <c r="T9" i="30" a="1"/>
  <c r="T9" i="30" s="1"/>
  <c r="AC17" i="30" a="1"/>
  <c r="AC17" i="30" s="1"/>
  <c r="AC16" i="30" a="1"/>
  <c r="AC16" i="30" s="1"/>
  <c r="AC15" i="30" a="1"/>
  <c r="AC15" i="30" s="1"/>
  <c r="AC14" i="30" a="1"/>
  <c r="AC14" i="30" s="1"/>
  <c r="AC13" i="30" a="1"/>
  <c r="AC13" i="30" s="1"/>
  <c r="AC12" i="30" a="1"/>
  <c r="AC12" i="30" s="1"/>
  <c r="AC11" i="30" a="1"/>
  <c r="AC11" i="30" s="1"/>
  <c r="AC10" i="30" a="1"/>
  <c r="AC10" i="30" s="1"/>
  <c r="AL17" i="30" a="1"/>
  <c r="AL17" i="30" s="1"/>
  <c r="AL16" i="30" a="1"/>
  <c r="AL16" i="30" s="1"/>
  <c r="AL15" i="30" a="1"/>
  <c r="AL15" i="30" s="1"/>
  <c r="AL14" i="30" a="1"/>
  <c r="AL14" i="30" s="1"/>
  <c r="AL13" i="30" a="1"/>
  <c r="AL13" i="30" s="1"/>
  <c r="AL12" i="30" a="1"/>
  <c r="AL12" i="30" s="1"/>
  <c r="AL10" i="30" a="1"/>
  <c r="AL10" i="30" s="1"/>
  <c r="AL9" i="30" a="1"/>
  <c r="AL9" i="30" s="1"/>
  <c r="AU17" i="30" a="1"/>
  <c r="AU17" i="30" s="1"/>
  <c r="AU16" i="30" a="1"/>
  <c r="AU16" i="30" s="1"/>
  <c r="AU15" i="30" a="1"/>
  <c r="AU15" i="30" s="1"/>
  <c r="AU14" i="30" a="1"/>
  <c r="AU14" i="30" s="1"/>
  <c r="AU13" i="30" a="1"/>
  <c r="AU13" i="30" s="1"/>
  <c r="AU12" i="30" a="1"/>
  <c r="AU12" i="30" s="1"/>
  <c r="AU11" i="30" a="1"/>
  <c r="AU11" i="30" s="1"/>
  <c r="AU10" i="30" a="1"/>
  <c r="AU10" i="30" s="1"/>
  <c r="AU9" i="30" a="1"/>
  <c r="AU9" i="30" s="1"/>
  <c r="L12" i="24" a="1"/>
  <c r="L12" i="24" s="1"/>
  <c r="L12" i="23" a="1"/>
  <c r="L12" i="23" s="1"/>
  <c r="L12" i="22" a="1"/>
  <c r="L12" i="22" s="1"/>
  <c r="L12" i="21" a="1"/>
  <c r="L12" i="21" s="1"/>
  <c r="M16" i="1"/>
  <c r="M19" i="1"/>
  <c r="M20" i="1"/>
  <c r="M21" i="1"/>
  <c r="M22" i="1"/>
  <c r="M23" i="1"/>
  <c r="M17" i="1"/>
  <c r="M18" i="1"/>
  <c r="M14" i="1"/>
  <c r="M12" i="1"/>
  <c r="P51" i="28"/>
  <c r="S30" i="21"/>
  <c r="I41" i="25"/>
  <c r="M51" i="1"/>
  <c r="I42" i="25"/>
  <c r="M30" i="21"/>
  <c r="L39" i="21"/>
  <c r="H47" i="28" s="1"/>
  <c r="S31" i="21"/>
  <c r="M37" i="21"/>
  <c r="M38" i="21"/>
  <c r="J53" i="25"/>
  <c r="K53" i="25"/>
  <c r="I31" i="1"/>
  <c r="H31" i="24"/>
  <c r="I31" i="24" s="1"/>
  <c r="H31" i="23"/>
  <c r="I31" i="23" s="1"/>
  <c r="H31" i="22"/>
  <c r="I31" i="22" s="1"/>
  <c r="M15" i="1"/>
  <c r="D30" i="25"/>
  <c r="D26" i="25"/>
  <c r="E21" i="25"/>
  <c r="E20" i="25"/>
  <c r="E19" i="25"/>
  <c r="E18" i="25"/>
  <c r="E17" i="25"/>
  <c r="E16" i="25"/>
  <c r="E15" i="25"/>
  <c r="E14" i="25"/>
  <c r="E13" i="25"/>
  <c r="E12" i="25"/>
  <c r="E11" i="25"/>
  <c r="E10" i="25"/>
  <c r="R26" i="30"/>
  <c r="AA26" i="30" s="1"/>
  <c r="AJ26" i="30" s="1"/>
  <c r="AS26" i="30" s="1"/>
  <c r="R25" i="30"/>
  <c r="AA25" i="30" s="1"/>
  <c r="AJ25" i="30" s="1"/>
  <c r="AS25" i="30" s="1"/>
  <c r="R22" i="30"/>
  <c r="S22" i="30" s="1"/>
  <c r="T22" i="30" s="1"/>
  <c r="R21" i="30"/>
  <c r="S21" i="30" s="1"/>
  <c r="T21" i="30" s="1"/>
  <c r="J38" i="22"/>
  <c r="J37" i="22"/>
  <c r="J13" i="21"/>
  <c r="J14" i="21"/>
  <c r="K14" i="21" s="1"/>
  <c r="L14" i="21" s="1" a="1"/>
  <c r="L14" i="21" s="1"/>
  <c r="J15" i="21"/>
  <c r="L15" i="21" s="1" a="1"/>
  <c r="L15" i="21" s="1"/>
  <c r="J16" i="21"/>
  <c r="L16" i="21" s="1" a="1"/>
  <c r="L16" i="21" s="1"/>
  <c r="J17" i="21"/>
  <c r="L17" i="21" s="1" a="1"/>
  <c r="L17" i="21" s="1"/>
  <c r="J18" i="21"/>
  <c r="L18" i="21" s="1" a="1"/>
  <c r="L18" i="21" s="1"/>
  <c r="J19" i="21"/>
  <c r="L19" i="21" s="1" a="1"/>
  <c r="L19" i="21" s="1"/>
  <c r="J20" i="21"/>
  <c r="L20" i="21" s="1" a="1"/>
  <c r="L20" i="21" s="1"/>
  <c r="J21" i="21"/>
  <c r="L21" i="21" s="1" a="1"/>
  <c r="L21" i="21" s="1"/>
  <c r="J22" i="21"/>
  <c r="L22" i="21" s="1" a="1"/>
  <c r="L22" i="21" s="1"/>
  <c r="J23" i="21"/>
  <c r="L23" i="21" s="1" a="1"/>
  <c r="L23" i="21" s="1"/>
  <c r="G38" i="25"/>
  <c r="G39" i="25"/>
  <c r="G36" i="25"/>
  <c r="G37" i="25"/>
  <c r="G10" i="25"/>
  <c r="G11" i="25"/>
  <c r="G12" i="25"/>
  <c r="G13" i="25"/>
  <c r="G14" i="25"/>
  <c r="G15" i="25"/>
  <c r="G16" i="25"/>
  <c r="G17" i="25"/>
  <c r="G18" i="25"/>
  <c r="G19" i="25"/>
  <c r="G20" i="25"/>
  <c r="G21" i="25"/>
  <c r="H20" i="28"/>
  <c r="P123" i="21"/>
  <c r="AB9" i="31"/>
  <c r="AB10" i="31" s="1"/>
  <c r="I6" i="30"/>
  <c r="I7" i="30"/>
  <c r="J7" i="30" s="1"/>
  <c r="K7" i="30" s="1" a="1"/>
  <c r="K7" i="30" s="1"/>
  <c r="L52" i="30"/>
  <c r="U52" i="30"/>
  <c r="AD52" i="30"/>
  <c r="AM52" i="30"/>
  <c r="AV52" i="30"/>
  <c r="C11" i="25"/>
  <c r="C12" i="25"/>
  <c r="C13" i="25"/>
  <c r="C14" i="25"/>
  <c r="C15" i="25"/>
  <c r="C16" i="25"/>
  <c r="C17" i="25"/>
  <c r="C18" i="25"/>
  <c r="C19" i="25"/>
  <c r="C20" i="25"/>
  <c r="C21" i="25"/>
  <c r="C10" i="25"/>
  <c r="B11" i="25"/>
  <c r="B12" i="25"/>
  <c r="B13" i="25"/>
  <c r="B14" i="25"/>
  <c r="B15" i="25"/>
  <c r="B16" i="25"/>
  <c r="B17" i="25"/>
  <c r="B18" i="25"/>
  <c r="B19" i="25"/>
  <c r="B20" i="25"/>
  <c r="B21" i="25"/>
  <c r="B10" i="25"/>
  <c r="O51" i="24"/>
  <c r="S51" i="24" s="1"/>
  <c r="N51" i="24"/>
  <c r="R51" i="24" s="1"/>
  <c r="O50" i="24"/>
  <c r="S50" i="24" s="1"/>
  <c r="N50" i="24"/>
  <c r="R50" i="24" s="1"/>
  <c r="N38" i="24"/>
  <c r="N37" i="24"/>
  <c r="O51" i="23"/>
  <c r="S51" i="23" s="1"/>
  <c r="N51" i="23"/>
  <c r="R51" i="23" s="1"/>
  <c r="O50" i="23"/>
  <c r="S50" i="23" s="1"/>
  <c r="N50" i="23"/>
  <c r="R50" i="23" s="1"/>
  <c r="N38" i="23"/>
  <c r="N37" i="23"/>
  <c r="O51" i="22"/>
  <c r="S51" i="22" s="1"/>
  <c r="N51" i="22"/>
  <c r="R51" i="22" s="1"/>
  <c r="O50" i="22"/>
  <c r="S50" i="22" s="1"/>
  <c r="N50" i="22"/>
  <c r="R50" i="22" s="1"/>
  <c r="N38" i="22"/>
  <c r="N37" i="22"/>
  <c r="O51" i="21"/>
  <c r="S51" i="21" s="1"/>
  <c r="N51" i="21"/>
  <c r="R51" i="21" s="1"/>
  <c r="O50" i="21"/>
  <c r="S50" i="21" s="1"/>
  <c r="N50" i="21"/>
  <c r="R50" i="21" s="1"/>
  <c r="I8" i="30"/>
  <c r="E12" i="22"/>
  <c r="E12" i="23"/>
  <c r="E12" i="24"/>
  <c r="E12" i="21"/>
  <c r="I11" i="30"/>
  <c r="I12" i="30"/>
  <c r="M48" i="22"/>
  <c r="M48" i="23"/>
  <c r="M48" i="24"/>
  <c r="M48" i="21"/>
  <c r="J37" i="23" l="1"/>
  <c r="K37" i="22"/>
  <c r="J38" i="23"/>
  <c r="K38" i="22"/>
  <c r="K13" i="21"/>
  <c r="L13" i="21" s="1" a="1"/>
  <c r="L13" i="21" s="1"/>
  <c r="J8" i="30"/>
  <c r="K8" i="30" s="1" a="1"/>
  <c r="K8" i="30" s="1"/>
  <c r="J6" i="30"/>
  <c r="K6" i="30" s="1" a="1"/>
  <c r="K6" i="30" s="1"/>
  <c r="L52" i="22"/>
  <c r="J49" i="28" s="1"/>
  <c r="L52" i="24"/>
  <c r="N49" i="28" s="1"/>
  <c r="L52" i="21"/>
  <c r="H49" i="28" s="1"/>
  <c r="L52" i="23"/>
  <c r="L49" i="28" s="1"/>
  <c r="M39" i="21"/>
  <c r="J13" i="22"/>
  <c r="K56" i="25"/>
  <c r="M13" i="1"/>
  <c r="M24" i="1" s="1"/>
  <c r="AA22" i="30"/>
  <c r="AA21" i="30"/>
  <c r="R12" i="30"/>
  <c r="R7" i="30"/>
  <c r="G27" i="25"/>
  <c r="R6" i="30"/>
  <c r="R11" i="30"/>
  <c r="R8" i="30"/>
  <c r="G26" i="25"/>
  <c r="J21" i="22"/>
  <c r="L21" i="22" s="1" a="1"/>
  <c r="L21" i="22" s="1"/>
  <c r="J20" i="22"/>
  <c r="L20" i="22" s="1" a="1"/>
  <c r="L20" i="22" s="1"/>
  <c r="J19" i="22"/>
  <c r="L19" i="22" s="1" a="1"/>
  <c r="L19" i="22" s="1"/>
  <c r="J18" i="22"/>
  <c r="L18" i="22" s="1" a="1"/>
  <c r="L18" i="22" s="1"/>
  <c r="J17" i="22"/>
  <c r="L17" i="22" s="1" a="1"/>
  <c r="L17" i="22" s="1"/>
  <c r="J30" i="22"/>
  <c r="K30" i="22" s="1"/>
  <c r="L30" i="22" s="1"/>
  <c r="J16" i="22"/>
  <c r="L16" i="22" s="1" a="1"/>
  <c r="L16" i="22" s="1"/>
  <c r="J31" i="22"/>
  <c r="K31" i="22" s="1"/>
  <c r="L31" i="22" s="1"/>
  <c r="J15" i="22"/>
  <c r="L15" i="22" s="1" a="1"/>
  <c r="L15" i="22" s="1"/>
  <c r="J14" i="22"/>
  <c r="K14" i="22" s="1"/>
  <c r="L14" i="22" s="1" a="1"/>
  <c r="L14" i="22" s="1"/>
  <c r="J23" i="22"/>
  <c r="L23" i="22" s="1" a="1"/>
  <c r="L23" i="22" s="1"/>
  <c r="J22" i="22"/>
  <c r="L22" i="22" s="1" a="1"/>
  <c r="L22" i="22" s="1"/>
  <c r="K31" i="1"/>
  <c r="K30" i="1"/>
  <c r="L30" i="1" s="1"/>
  <c r="M47" i="21"/>
  <c r="M46" i="23"/>
  <c r="M47" i="22"/>
  <c r="M45" i="23"/>
  <c r="M45" i="21"/>
  <c r="M47" i="24"/>
  <c r="M46" i="24"/>
  <c r="M45" i="24"/>
  <c r="M45" i="22"/>
  <c r="M47" i="23"/>
  <c r="M46" i="21"/>
  <c r="M46" i="22"/>
  <c r="L38" i="22" l="1"/>
  <c r="M38" i="22"/>
  <c r="R38" i="22"/>
  <c r="J38" i="24"/>
  <c r="K38" i="24" s="1"/>
  <c r="K38" i="23"/>
  <c r="L37" i="22"/>
  <c r="M37" i="22" s="1"/>
  <c r="R37" i="22"/>
  <c r="J37" i="24"/>
  <c r="K37" i="24" s="1"/>
  <c r="K37" i="23"/>
  <c r="S7" i="30"/>
  <c r="T7" i="30" s="1" a="1"/>
  <c r="T7" i="30" s="1"/>
  <c r="K13" i="22"/>
  <c r="L13" i="22" s="1" a="1"/>
  <c r="L13" i="22" s="1"/>
  <c r="S8" i="30"/>
  <c r="T8" i="30" s="1" a="1"/>
  <c r="T8" i="30" s="1"/>
  <c r="S6" i="30"/>
  <c r="T6" i="30" s="1" a="1"/>
  <c r="T6" i="30" s="1"/>
  <c r="M19" i="22"/>
  <c r="M20" i="22"/>
  <c r="M17" i="22"/>
  <c r="M23" i="22"/>
  <c r="M30" i="1"/>
  <c r="K39" i="1"/>
  <c r="F46" i="28" s="1"/>
  <c r="M31" i="1"/>
  <c r="M52" i="24"/>
  <c r="M52" i="22"/>
  <c r="M52" i="21"/>
  <c r="M52" i="23"/>
  <c r="AB22" i="30"/>
  <c r="AC22" i="30" s="1"/>
  <c r="AJ22" i="30"/>
  <c r="AK22" i="30" s="1"/>
  <c r="AL22" i="30" s="1"/>
  <c r="AB21" i="30"/>
  <c r="AC21" i="30" s="1"/>
  <c r="AJ21" i="30"/>
  <c r="AK21" i="30" s="1"/>
  <c r="AL21" i="30" s="1"/>
  <c r="J31" i="23"/>
  <c r="K31" i="23" s="1"/>
  <c r="L31" i="23" s="1"/>
  <c r="J19" i="23"/>
  <c r="L19" i="23" s="1" a="1"/>
  <c r="L19" i="23" s="1"/>
  <c r="J14" i="23"/>
  <c r="K14" i="23" s="1"/>
  <c r="L14" i="23" s="1" a="1"/>
  <c r="L14" i="23" s="1"/>
  <c r="J20" i="23"/>
  <c r="L20" i="23" s="1" a="1"/>
  <c r="L20" i="23" s="1"/>
  <c r="AA8" i="30"/>
  <c r="AA7" i="30"/>
  <c r="AA12" i="30"/>
  <c r="AA6" i="30"/>
  <c r="AA11" i="30"/>
  <c r="N17" i="21"/>
  <c r="M31" i="22"/>
  <c r="J15" i="23"/>
  <c r="L15" i="23" s="1" a="1"/>
  <c r="L15" i="23" s="1"/>
  <c r="J21" i="23"/>
  <c r="L21" i="23" s="1" a="1"/>
  <c r="L21" i="23" s="1"/>
  <c r="M22" i="22"/>
  <c r="J30" i="23"/>
  <c r="K30" i="23" s="1"/>
  <c r="L30" i="23" s="1"/>
  <c r="J23" i="23"/>
  <c r="L23" i="23" s="1" a="1"/>
  <c r="L23" i="23" s="1"/>
  <c r="J17" i="23"/>
  <c r="L17" i="23" s="1" a="1"/>
  <c r="L17" i="23" s="1"/>
  <c r="M21" i="22"/>
  <c r="M14" i="22"/>
  <c r="J13" i="23"/>
  <c r="J16" i="23"/>
  <c r="L16" i="23" s="1" a="1"/>
  <c r="L16" i="23" s="1"/>
  <c r="M18" i="22"/>
  <c r="J22" i="23"/>
  <c r="L22" i="23" s="1" a="1"/>
  <c r="L22" i="23" s="1"/>
  <c r="J18" i="23"/>
  <c r="L18" i="23" s="1" a="1"/>
  <c r="L18" i="23" s="1"/>
  <c r="K24" i="21"/>
  <c r="H44" i="28" s="1"/>
  <c r="K39" i="22"/>
  <c r="J46" i="28" s="1"/>
  <c r="M16" i="22"/>
  <c r="M15" i="22"/>
  <c r="M17" i="21"/>
  <c r="M19" i="21"/>
  <c r="M20" i="21"/>
  <c r="M21" i="21"/>
  <c r="M14" i="21"/>
  <c r="M23" i="21"/>
  <c r="M13" i="21"/>
  <c r="M15" i="21"/>
  <c r="M16" i="21"/>
  <c r="M18" i="21"/>
  <c r="M22" i="21"/>
  <c r="L39" i="22"/>
  <c r="J47" i="28" s="1"/>
  <c r="L24" i="21"/>
  <c r="H45" i="28" s="1"/>
  <c r="M12" i="21"/>
  <c r="M30" i="22"/>
  <c r="L37" i="23" l="1"/>
  <c r="M37" i="23" s="1"/>
  <c r="R37" i="23"/>
  <c r="H30" i="25"/>
  <c r="L37" i="24"/>
  <c r="M37" i="24"/>
  <c r="R37" i="24"/>
  <c r="L38" i="23"/>
  <c r="M38" i="23" s="1"/>
  <c r="R38" i="23"/>
  <c r="H31" i="25"/>
  <c r="L38" i="24"/>
  <c r="M38" i="24" s="1"/>
  <c r="R38" i="24"/>
  <c r="K13" i="23"/>
  <c r="L13" i="23" s="1" a="1"/>
  <c r="L13" i="23" s="1"/>
  <c r="AB7" i="30"/>
  <c r="AC7" i="30" s="1" a="1"/>
  <c r="AC7" i="30" s="1"/>
  <c r="AB8" i="30"/>
  <c r="AC8" i="30" s="1" a="1"/>
  <c r="AC8" i="30" s="1"/>
  <c r="AB6" i="30"/>
  <c r="L54" i="21"/>
  <c r="K54" i="21"/>
  <c r="M17" i="23"/>
  <c r="M22" i="23"/>
  <c r="J31" i="24"/>
  <c r="K31" i="24" s="1"/>
  <c r="L31" i="24" s="1"/>
  <c r="J13" i="24"/>
  <c r="J16" i="24"/>
  <c r="L16" i="24" s="1" a="1"/>
  <c r="L16" i="24" s="1"/>
  <c r="J15" i="24"/>
  <c r="L15" i="24" s="1" a="1"/>
  <c r="L15" i="24" s="1"/>
  <c r="J14" i="24"/>
  <c r="K14" i="24" s="1"/>
  <c r="L14" i="24" s="1" a="1"/>
  <c r="L14" i="24" s="1"/>
  <c r="J20" i="24"/>
  <c r="L20" i="24" s="1" a="1"/>
  <c r="L20" i="24" s="1"/>
  <c r="J19" i="24"/>
  <c r="L19" i="24" s="1" a="1"/>
  <c r="L19" i="24" s="1"/>
  <c r="AS22" i="30"/>
  <c r="AT22" i="30" s="1"/>
  <c r="AU22" i="30" s="1"/>
  <c r="AS21" i="30"/>
  <c r="AT21" i="30" s="1"/>
  <c r="AU21" i="30" s="1"/>
  <c r="J30" i="24"/>
  <c r="K30" i="24" s="1"/>
  <c r="L30" i="24" s="1"/>
  <c r="J23" i="24"/>
  <c r="L23" i="24" s="1" a="1"/>
  <c r="L23" i="24" s="1"/>
  <c r="N18" i="21"/>
  <c r="J21" i="24"/>
  <c r="L21" i="24" s="1" a="1"/>
  <c r="L21" i="24" s="1"/>
  <c r="M23" i="23"/>
  <c r="AJ12" i="30"/>
  <c r="AJ7" i="30"/>
  <c r="AJ11" i="30"/>
  <c r="N17" i="22"/>
  <c r="AJ8" i="30"/>
  <c r="AJ6" i="30"/>
  <c r="J18" i="24"/>
  <c r="L18" i="24" s="1" a="1"/>
  <c r="L18" i="24" s="1"/>
  <c r="J17" i="24"/>
  <c r="L17" i="24" s="1" a="1"/>
  <c r="L17" i="24" s="1"/>
  <c r="J22" i="24"/>
  <c r="L22" i="24" s="1" a="1"/>
  <c r="L22" i="24" s="1"/>
  <c r="M21" i="23"/>
  <c r="M12" i="22"/>
  <c r="K24" i="22"/>
  <c r="J44" i="28" s="1"/>
  <c r="M13" i="22"/>
  <c r="K39" i="23"/>
  <c r="L46" i="28" s="1"/>
  <c r="M31" i="23"/>
  <c r="M24" i="21"/>
  <c r="M54" i="21" s="1"/>
  <c r="M115" i="21" s="1"/>
  <c r="M39" i="22"/>
  <c r="AK7" i="30" l="1"/>
  <c r="AL7" i="30" s="1" a="1"/>
  <c r="AL7" i="30" s="1"/>
  <c r="K13" i="24"/>
  <c r="L13" i="24" s="1" a="1"/>
  <c r="L13" i="24" s="1"/>
  <c r="L24" i="24" s="1"/>
  <c r="AK8" i="30"/>
  <c r="AL8" i="30" s="1" a="1"/>
  <c r="AL8" i="30" s="1"/>
  <c r="AK6" i="30"/>
  <c r="AL6" i="30" s="1" a="1"/>
  <c r="AL6" i="30" s="1"/>
  <c r="K54" i="22"/>
  <c r="I19" i="25"/>
  <c r="I20" i="25"/>
  <c r="I15" i="25"/>
  <c r="K119" i="21"/>
  <c r="M16" i="23"/>
  <c r="H12" i="25"/>
  <c r="H19" i="25"/>
  <c r="AS6" i="30"/>
  <c r="AS8" i="30"/>
  <c r="AS11" i="30"/>
  <c r="AS7" i="30"/>
  <c r="AS12" i="30"/>
  <c r="L24" i="22"/>
  <c r="J45" i="28" s="1"/>
  <c r="M24" i="22"/>
  <c r="M54" i="22" s="1"/>
  <c r="K39" i="24"/>
  <c r="H17" i="25"/>
  <c r="M31" i="24"/>
  <c r="M18" i="24"/>
  <c r="H16" i="25"/>
  <c r="M12" i="24"/>
  <c r="H15" i="25"/>
  <c r="K24" i="23"/>
  <c r="L44" i="28" s="1"/>
  <c r="H10" i="25"/>
  <c r="M15" i="24"/>
  <c r="M20" i="24"/>
  <c r="H20" i="25"/>
  <c r="H18" i="25"/>
  <c r="K24" i="24"/>
  <c r="N44" i="28" s="1"/>
  <c r="M13" i="23"/>
  <c r="M13" i="24"/>
  <c r="H13" i="25"/>
  <c r="M23" i="24"/>
  <c r="M19" i="24"/>
  <c r="L39" i="23"/>
  <c r="L47" i="28" s="1"/>
  <c r="M30" i="23"/>
  <c r="M20" i="23"/>
  <c r="I18" i="25"/>
  <c r="M14" i="24"/>
  <c r="M19" i="23"/>
  <c r="I17" i="25"/>
  <c r="M15" i="23"/>
  <c r="I13" i="25"/>
  <c r="M18" i="23"/>
  <c r="I16" i="25"/>
  <c r="M14" i="23"/>
  <c r="I12" i="25"/>
  <c r="L39" i="24"/>
  <c r="N47" i="28" s="1"/>
  <c r="M30" i="24"/>
  <c r="X13" i="26"/>
  <c r="U22" i="26"/>
  <c r="F22" i="26"/>
  <c r="C33" i="26"/>
  <c r="O32" i="26"/>
  <c r="R13" i="26"/>
  <c r="I32" i="26"/>
  <c r="L19" i="26"/>
  <c r="D7" i="31"/>
  <c r="D6" i="31"/>
  <c r="D5" i="31"/>
  <c r="D4" i="31"/>
  <c r="M22" i="24" l="1"/>
  <c r="N46" i="28"/>
  <c r="P46" i="28" s="1"/>
  <c r="M21" i="24"/>
  <c r="J19" i="25" s="1"/>
  <c r="AT7" i="30"/>
  <c r="AU7" i="30" s="1" a="1"/>
  <c r="AU7" i="30" s="1"/>
  <c r="AT8" i="30"/>
  <c r="AU8" i="30" s="1" a="1"/>
  <c r="AU8" i="30" s="1"/>
  <c r="AT6" i="30"/>
  <c r="AU6" i="30" s="1" a="1"/>
  <c r="AU6" i="30" s="1"/>
  <c r="K54" i="23"/>
  <c r="L54" i="22"/>
  <c r="M17" i="24"/>
  <c r="J15" i="25" s="1"/>
  <c r="M119" i="21"/>
  <c r="H58" i="28" s="1"/>
  <c r="K54" i="24"/>
  <c r="M39" i="23"/>
  <c r="J16" i="25"/>
  <c r="N17" i="24"/>
  <c r="N17" i="23"/>
  <c r="I10" i="25"/>
  <c r="M39" i="24"/>
  <c r="J18" i="25"/>
  <c r="M16" i="24"/>
  <c r="H14" i="25"/>
  <c r="L24" i="23"/>
  <c r="L45" i="28" s="1"/>
  <c r="J17" i="25"/>
  <c r="M12" i="23"/>
  <c r="M24" i="23" s="1"/>
  <c r="I27" i="25"/>
  <c r="H27" i="25"/>
  <c r="I11" i="25"/>
  <c r="H11" i="25"/>
  <c r="F4" i="31"/>
  <c r="E4" i="31"/>
  <c r="F5" i="31"/>
  <c r="E5" i="31"/>
  <c r="F6" i="31"/>
  <c r="E6" i="31"/>
  <c r="F7" i="31"/>
  <c r="E7" i="31"/>
  <c r="O51" i="1"/>
  <c r="L42" i="25" s="1"/>
  <c r="N51" i="1"/>
  <c r="K42" i="25" s="1"/>
  <c r="O50" i="1"/>
  <c r="L41" i="25" s="1"/>
  <c r="N50" i="1"/>
  <c r="K41" i="25" s="1"/>
  <c r="N38" i="1"/>
  <c r="K31" i="25" s="1"/>
  <c r="N37" i="1"/>
  <c r="K30" i="25" s="1"/>
  <c r="C6" i="30"/>
  <c r="U98" i="30"/>
  <c r="L98" i="30"/>
  <c r="I13" i="30"/>
  <c r="I14" i="30"/>
  <c r="I15" i="30"/>
  <c r="I16" i="30"/>
  <c r="I17" i="30"/>
  <c r="I9" i="30"/>
  <c r="I10" i="30"/>
  <c r="C25" i="30"/>
  <c r="C22" i="30"/>
  <c r="C21" i="30"/>
  <c r="C13" i="30"/>
  <c r="C14" i="30"/>
  <c r="C15" i="30"/>
  <c r="C16" i="30"/>
  <c r="C17" i="30"/>
  <c r="C12" i="30"/>
  <c r="L12" i="30" s="1"/>
  <c r="C7" i="30"/>
  <c r="C8" i="30"/>
  <c r="C9" i="30"/>
  <c r="L54" i="23" l="1"/>
  <c r="M24" i="24"/>
  <c r="M54" i="24" s="1"/>
  <c r="H59" i="28"/>
  <c r="M54" i="23"/>
  <c r="K63" i="25"/>
  <c r="K75" i="25"/>
  <c r="K76" i="25"/>
  <c r="K61" i="25"/>
  <c r="K57" i="25"/>
  <c r="K62" i="25"/>
  <c r="K64" i="25"/>
  <c r="R16" i="30"/>
  <c r="R15" i="30"/>
  <c r="R14" i="30"/>
  <c r="R13" i="30"/>
  <c r="R10" i="30"/>
  <c r="R9" i="30"/>
  <c r="R17" i="30"/>
  <c r="I14" i="25"/>
  <c r="N45" i="28"/>
  <c r="O30" i="24"/>
  <c r="N30" i="24"/>
  <c r="O31" i="24"/>
  <c r="N31" i="24"/>
  <c r="O18" i="21"/>
  <c r="U12" i="30"/>
  <c r="AV98" i="30"/>
  <c r="AM98" i="30"/>
  <c r="AD98" i="30"/>
  <c r="AV59" i="30"/>
  <c r="AV102" i="30" s="1"/>
  <c r="N117" i="24" s="1"/>
  <c r="AM59" i="30"/>
  <c r="AM102" i="30" s="1"/>
  <c r="N117" i="23" s="1"/>
  <c r="AD59" i="30"/>
  <c r="AD102" i="30" s="1"/>
  <c r="N117" i="22" s="1"/>
  <c r="U59" i="30"/>
  <c r="U102" i="30" s="1"/>
  <c r="N117" i="21" s="1"/>
  <c r="L59" i="30"/>
  <c r="L102" i="30" s="1"/>
  <c r="N117" i="1" s="1"/>
  <c r="AV71" i="30"/>
  <c r="AM71" i="30"/>
  <c r="AD71" i="30"/>
  <c r="U71" i="30"/>
  <c r="L71" i="30"/>
  <c r="P51" i="24"/>
  <c r="P50" i="24"/>
  <c r="AT33" i="30"/>
  <c r="N48" i="24" s="1"/>
  <c r="AT32" i="30"/>
  <c r="N47" i="24" s="1"/>
  <c r="AT31" i="30"/>
  <c r="N46" i="24" s="1"/>
  <c r="AT30" i="30"/>
  <c r="P51" i="23"/>
  <c r="P50" i="23"/>
  <c r="AK33" i="30"/>
  <c r="N48" i="23" s="1"/>
  <c r="AK32" i="30"/>
  <c r="N47" i="23" s="1"/>
  <c r="AK31" i="30"/>
  <c r="N46" i="23" s="1"/>
  <c r="AK30" i="30"/>
  <c r="P51" i="22"/>
  <c r="P50" i="22"/>
  <c r="AB33" i="30"/>
  <c r="N48" i="22" s="1"/>
  <c r="AB32" i="30"/>
  <c r="N47" i="22" s="1"/>
  <c r="AB31" i="30"/>
  <c r="N46" i="22" s="1"/>
  <c r="AB30" i="30"/>
  <c r="P51" i="21"/>
  <c r="P50" i="21"/>
  <c r="S33" i="30"/>
  <c r="N48" i="21" s="1"/>
  <c r="S32" i="30"/>
  <c r="N47" i="21" s="1"/>
  <c r="S31" i="30"/>
  <c r="N46" i="21" s="1"/>
  <c r="S30" i="30"/>
  <c r="J33" i="30"/>
  <c r="J32" i="30"/>
  <c r="J31" i="30"/>
  <c r="J30" i="30"/>
  <c r="C4" i="1"/>
  <c r="M2" i="1"/>
  <c r="I2" i="1"/>
  <c r="L54" i="24" l="1"/>
  <c r="S37" i="30"/>
  <c r="AK37" i="30"/>
  <c r="AB37" i="30"/>
  <c r="AT37" i="30"/>
  <c r="J37" i="30"/>
  <c r="N45" i="21"/>
  <c r="N45" i="22"/>
  <c r="N45" i="24"/>
  <c r="N45" i="23"/>
  <c r="AA10" i="30"/>
  <c r="AA17" i="30"/>
  <c r="AA13" i="30"/>
  <c r="AA14" i="30"/>
  <c r="AA15" i="30"/>
  <c r="AA9" i="30"/>
  <c r="AA16" i="30"/>
  <c r="N14" i="21"/>
  <c r="R14" i="21" s="1"/>
  <c r="N14" i="22"/>
  <c r="R14" i="22" s="1"/>
  <c r="N14" i="23"/>
  <c r="R14" i="23" s="1"/>
  <c r="N14" i="24"/>
  <c r="R14" i="24" s="1"/>
  <c r="N18" i="22"/>
  <c r="R18" i="22" s="1"/>
  <c r="O18" i="22"/>
  <c r="N18" i="23"/>
  <c r="R18" i="23" s="1"/>
  <c r="N18" i="24"/>
  <c r="R18" i="24" s="1"/>
  <c r="N13" i="21"/>
  <c r="R13" i="21" s="1"/>
  <c r="N13" i="22"/>
  <c r="R13" i="22" s="1"/>
  <c r="N13" i="23"/>
  <c r="R13" i="23" s="1"/>
  <c r="N13" i="24"/>
  <c r="R13" i="24" s="1"/>
  <c r="N12" i="21"/>
  <c r="N12" i="22"/>
  <c r="N12" i="23"/>
  <c r="N12" i="24"/>
  <c r="O30" i="22"/>
  <c r="N30" i="22"/>
  <c r="O30" i="23"/>
  <c r="N30" i="23"/>
  <c r="O31" i="22"/>
  <c r="N31" i="22"/>
  <c r="R31" i="22" s="1"/>
  <c r="O31" i="23"/>
  <c r="N31" i="23"/>
  <c r="R31" i="23" s="1"/>
  <c r="P18" i="21"/>
  <c r="N12" i="1"/>
  <c r="N31" i="1"/>
  <c r="R31" i="24"/>
  <c r="N46" i="1"/>
  <c r="K37" i="25" s="1"/>
  <c r="R46" i="24"/>
  <c r="R46" i="23"/>
  <c r="R46" i="22"/>
  <c r="R46" i="21"/>
  <c r="N47" i="1"/>
  <c r="K38" i="25" s="1"/>
  <c r="R47" i="22"/>
  <c r="R47" i="21"/>
  <c r="R47" i="24"/>
  <c r="R47" i="23"/>
  <c r="N20" i="1"/>
  <c r="N48" i="1"/>
  <c r="K39" i="25" s="1"/>
  <c r="R48" i="21"/>
  <c r="R48" i="24"/>
  <c r="R48" i="23"/>
  <c r="R48" i="22"/>
  <c r="P50" i="1"/>
  <c r="M41" i="25" s="1"/>
  <c r="T50" i="23"/>
  <c r="T50" i="22"/>
  <c r="T50" i="21"/>
  <c r="T50" i="24"/>
  <c r="P51" i="1"/>
  <c r="M42" i="25" s="1"/>
  <c r="T51" i="21"/>
  <c r="T51" i="24"/>
  <c r="T51" i="23"/>
  <c r="T51" i="22"/>
  <c r="N22" i="1"/>
  <c r="N23" i="1"/>
  <c r="N21" i="1"/>
  <c r="N16" i="1"/>
  <c r="N17" i="1"/>
  <c r="K15" i="25" s="1"/>
  <c r="R17" i="24"/>
  <c r="R17" i="23"/>
  <c r="R17" i="22"/>
  <c r="R17" i="21"/>
  <c r="N45" i="1"/>
  <c r="N18" i="1"/>
  <c r="R18" i="21"/>
  <c r="N14" i="1"/>
  <c r="N13" i="1"/>
  <c r="N19" i="1"/>
  <c r="N30" i="1"/>
  <c r="N15" i="1"/>
  <c r="K58" i="25"/>
  <c r="J18" i="30"/>
  <c r="S27" i="30"/>
  <c r="AT27" i="30"/>
  <c r="AK27" i="30"/>
  <c r="AB27" i="30"/>
  <c r="J27" i="30"/>
  <c r="C4" i="25"/>
  <c r="C4" i="24"/>
  <c r="C4" i="23"/>
  <c r="C4" i="22"/>
  <c r="C4" i="21"/>
  <c r="J2" i="25"/>
  <c r="G2" i="25"/>
  <c r="M2" i="24"/>
  <c r="I2" i="24"/>
  <c r="M2" i="23"/>
  <c r="I2" i="23"/>
  <c r="M2" i="22"/>
  <c r="I2" i="22"/>
  <c r="M2" i="21"/>
  <c r="I2" i="21"/>
  <c r="K4" i="21"/>
  <c r="K4" i="22" s="1"/>
  <c r="K4" i="23" s="1"/>
  <c r="K4" i="24" s="1"/>
  <c r="M117" i="1"/>
  <c r="R50" i="1"/>
  <c r="S50" i="1"/>
  <c r="R51" i="1"/>
  <c r="S51" i="1"/>
  <c r="R37" i="1"/>
  <c r="R38" i="1"/>
  <c r="J42" i="25"/>
  <c r="J41" i="25"/>
  <c r="K24" i="1"/>
  <c r="F44" i="28" s="1"/>
  <c r="C16" i="14"/>
  <c r="H37" i="25"/>
  <c r="H39" i="25"/>
  <c r="I39" i="25"/>
  <c r="I38" i="25"/>
  <c r="I31" i="25"/>
  <c r="I30" i="25"/>
  <c r="H38" i="25"/>
  <c r="F27" i="25"/>
  <c r="F26" i="25"/>
  <c r="C34" i="14" l="1"/>
  <c r="K54" i="1"/>
  <c r="P44" i="28"/>
  <c r="M37" i="1"/>
  <c r="I37" i="25"/>
  <c r="M46" i="1"/>
  <c r="L52" i="1"/>
  <c r="M115" i="24"/>
  <c r="J39" i="30"/>
  <c r="N15" i="21"/>
  <c r="R15" i="21" s="1"/>
  <c r="K36" i="25"/>
  <c r="N22" i="21"/>
  <c r="R22" i="21" s="1"/>
  <c r="N21" i="21"/>
  <c r="R21" i="21" s="1"/>
  <c r="AJ13" i="30"/>
  <c r="AJ17" i="30"/>
  <c r="AJ16" i="30"/>
  <c r="AJ14" i="30"/>
  <c r="AJ10" i="30"/>
  <c r="N23" i="21"/>
  <c r="R23" i="21" s="1"/>
  <c r="AJ9" i="30"/>
  <c r="AJ15" i="30"/>
  <c r="K16" i="25"/>
  <c r="I36" i="25"/>
  <c r="H36" i="25"/>
  <c r="H43" i="25" s="1"/>
  <c r="K11" i="25"/>
  <c r="I26" i="25"/>
  <c r="I32" i="25" s="1"/>
  <c r="H26" i="25"/>
  <c r="H32" i="25" s="1"/>
  <c r="K26" i="25"/>
  <c r="I21" i="25"/>
  <c r="I22" i="25" s="1"/>
  <c r="H21" i="25"/>
  <c r="H22" i="25" s="1"/>
  <c r="K12" i="25"/>
  <c r="K27" i="25"/>
  <c r="K10" i="25"/>
  <c r="N16" i="21"/>
  <c r="N20" i="21"/>
  <c r="N19" i="21"/>
  <c r="S18" i="30"/>
  <c r="S39" i="30" s="1"/>
  <c r="N39" i="23"/>
  <c r="R30" i="23"/>
  <c r="R30" i="22"/>
  <c r="N39" i="22"/>
  <c r="R30" i="24"/>
  <c r="N39" i="24"/>
  <c r="S31" i="22"/>
  <c r="S31" i="23"/>
  <c r="S31" i="24"/>
  <c r="R45" i="22"/>
  <c r="N52" i="22"/>
  <c r="R45" i="24"/>
  <c r="R45" i="23"/>
  <c r="R45" i="21"/>
  <c r="R52" i="21" s="1"/>
  <c r="N52" i="21"/>
  <c r="O48" i="24"/>
  <c r="O47" i="24"/>
  <c r="O46" i="24"/>
  <c r="O48" i="23"/>
  <c r="O47" i="23"/>
  <c r="O46" i="23"/>
  <c r="O48" i="22"/>
  <c r="O47" i="22"/>
  <c r="O46" i="22"/>
  <c r="O48" i="21"/>
  <c r="O47" i="21"/>
  <c r="O46" i="21"/>
  <c r="AU26" i="30"/>
  <c r="O38" i="24" s="1"/>
  <c r="AU25" i="30"/>
  <c r="O37" i="24" s="1"/>
  <c r="AL26" i="30"/>
  <c r="O38" i="23" s="1"/>
  <c r="AL25" i="30"/>
  <c r="O37" i="23" s="1"/>
  <c r="AC26" i="30"/>
  <c r="O38" i="22" s="1"/>
  <c r="AC25" i="30"/>
  <c r="O37" i="22" s="1"/>
  <c r="T26" i="30"/>
  <c r="T25" i="30"/>
  <c r="K26" i="30"/>
  <c r="O38" i="21" s="1"/>
  <c r="S38" i="21" s="1"/>
  <c r="K25" i="30"/>
  <c r="O37" i="21" s="1"/>
  <c r="O30" i="1"/>
  <c r="L26" i="25" s="1"/>
  <c r="L9" i="30"/>
  <c r="AD12" i="30"/>
  <c r="L16" i="30"/>
  <c r="O20" i="1"/>
  <c r="O21" i="1"/>
  <c r="O18" i="1"/>
  <c r="O13" i="1"/>
  <c r="O14" i="1"/>
  <c r="L6" i="30"/>
  <c r="U22" i="30"/>
  <c r="AD22" i="30"/>
  <c r="P31" i="22" s="1"/>
  <c r="L22" i="30"/>
  <c r="P31" i="21" s="1"/>
  <c r="O31" i="1"/>
  <c r="L27" i="25" s="1"/>
  <c r="AM22" i="30"/>
  <c r="P31" i="23" s="1"/>
  <c r="L17" i="30"/>
  <c r="O23" i="1"/>
  <c r="K77" i="25"/>
  <c r="AV21" i="30"/>
  <c r="P30" i="24" s="1"/>
  <c r="AM21" i="30"/>
  <c r="P30" i="23" s="1"/>
  <c r="AD21" i="30"/>
  <c r="P30" i="22" s="1"/>
  <c r="U21" i="30"/>
  <c r="L21" i="30"/>
  <c r="P30" i="21" s="1"/>
  <c r="K43" i="25"/>
  <c r="R46" i="1"/>
  <c r="J77" i="25"/>
  <c r="R19" i="1"/>
  <c r="U51" i="24"/>
  <c r="R21" i="1"/>
  <c r="U50" i="24"/>
  <c r="N52" i="23"/>
  <c r="N52" i="24"/>
  <c r="K65" i="25"/>
  <c r="K108" i="25" s="1"/>
  <c r="J65" i="25"/>
  <c r="R47" i="1"/>
  <c r="R45" i="1"/>
  <c r="R48" i="1"/>
  <c r="T50" i="1"/>
  <c r="U50" i="1" s="1"/>
  <c r="T51" i="1"/>
  <c r="U51" i="1" s="1"/>
  <c r="R12" i="1"/>
  <c r="R13" i="1"/>
  <c r="R15" i="1"/>
  <c r="R16" i="1"/>
  <c r="R17" i="1"/>
  <c r="R18" i="1"/>
  <c r="R20" i="1"/>
  <c r="R22" i="1"/>
  <c r="R23" i="1"/>
  <c r="R31" i="1"/>
  <c r="J30" i="25"/>
  <c r="M38" i="1"/>
  <c r="J31" i="25" s="1"/>
  <c r="U50" i="23"/>
  <c r="U51" i="23"/>
  <c r="U50" i="22"/>
  <c r="U51" i="22"/>
  <c r="U50" i="21"/>
  <c r="U51" i="21"/>
  <c r="M47" i="1"/>
  <c r="J38" i="25" s="1"/>
  <c r="M45" i="1"/>
  <c r="M48" i="1"/>
  <c r="J39" i="25" s="1"/>
  <c r="J37" i="25"/>
  <c r="J11" i="25"/>
  <c r="J10" i="25"/>
  <c r="AL18" i="30" l="1"/>
  <c r="C52" i="14"/>
  <c r="C43" i="14"/>
  <c r="C25" i="14"/>
  <c r="I43" i="25"/>
  <c r="F49" i="28"/>
  <c r="P49" i="28" s="1"/>
  <c r="J36" i="25"/>
  <c r="J43" i="25" s="1"/>
  <c r="M52" i="1"/>
  <c r="T37" i="30"/>
  <c r="AU37" i="30"/>
  <c r="K37" i="30"/>
  <c r="AL37" i="30"/>
  <c r="AC37" i="30"/>
  <c r="O39" i="21"/>
  <c r="S37" i="21"/>
  <c r="S39" i="21" s="1"/>
  <c r="T30" i="21"/>
  <c r="T31" i="21"/>
  <c r="U31" i="21" s="1"/>
  <c r="H45" i="25"/>
  <c r="I45" i="25"/>
  <c r="AC27" i="30"/>
  <c r="O45" i="23"/>
  <c r="O45" i="21"/>
  <c r="O45" i="24"/>
  <c r="O45" i="22"/>
  <c r="N21" i="22"/>
  <c r="AS15" i="30"/>
  <c r="N15" i="22"/>
  <c r="AS10" i="30"/>
  <c r="AS9" i="30"/>
  <c r="AS14" i="30"/>
  <c r="N22" i="22"/>
  <c r="AS13" i="30"/>
  <c r="AS16" i="30"/>
  <c r="N23" i="22"/>
  <c r="AS17" i="30"/>
  <c r="J26" i="25"/>
  <c r="N24" i="21"/>
  <c r="N54" i="21" s="1"/>
  <c r="K32" i="25"/>
  <c r="R19" i="21"/>
  <c r="R20" i="21"/>
  <c r="R16" i="21"/>
  <c r="O23" i="21"/>
  <c r="S23" i="21" s="1"/>
  <c r="O22" i="21"/>
  <c r="S22" i="21" s="1"/>
  <c r="O15" i="21"/>
  <c r="S15" i="21" s="1"/>
  <c r="N19" i="22"/>
  <c r="N20" i="22"/>
  <c r="T27" i="30"/>
  <c r="N16" i="22"/>
  <c r="AB18" i="30"/>
  <c r="AB39" i="30" s="1"/>
  <c r="U17" i="30"/>
  <c r="U9" i="30"/>
  <c r="P15" i="21" s="1"/>
  <c r="T15" i="21" s="1"/>
  <c r="U16" i="30"/>
  <c r="P22" i="21" s="1"/>
  <c r="T22" i="21" s="1"/>
  <c r="P18" i="22"/>
  <c r="U6" i="30"/>
  <c r="O12" i="21"/>
  <c r="K27" i="30"/>
  <c r="L15" i="30"/>
  <c r="AL27" i="30"/>
  <c r="AU27" i="30"/>
  <c r="O22" i="1"/>
  <c r="S30" i="24"/>
  <c r="O12" i="1"/>
  <c r="O15" i="1"/>
  <c r="S18" i="21"/>
  <c r="S18" i="22"/>
  <c r="S46" i="24"/>
  <c r="S46" i="23"/>
  <c r="S46" i="22"/>
  <c r="S46" i="21"/>
  <c r="S30" i="23"/>
  <c r="P22" i="1"/>
  <c r="S37" i="24"/>
  <c r="S37" i="23"/>
  <c r="S37" i="22"/>
  <c r="S47" i="22"/>
  <c r="S47" i="21"/>
  <c r="S47" i="24"/>
  <c r="S47" i="23"/>
  <c r="L7" i="30"/>
  <c r="S38" i="24"/>
  <c r="S38" i="23"/>
  <c r="S38" i="22"/>
  <c r="S48" i="21"/>
  <c r="S48" i="24"/>
  <c r="S48" i="23"/>
  <c r="S48" i="22"/>
  <c r="P23" i="1"/>
  <c r="P15" i="1"/>
  <c r="P31" i="1"/>
  <c r="T31" i="23"/>
  <c r="T31" i="22"/>
  <c r="L13" i="30"/>
  <c r="L14" i="30"/>
  <c r="L8" i="30"/>
  <c r="O39" i="22"/>
  <c r="S30" i="22"/>
  <c r="O19" i="1"/>
  <c r="L25" i="30"/>
  <c r="P37" i="21" s="1"/>
  <c r="O37" i="1"/>
  <c r="L30" i="25" s="1"/>
  <c r="L26" i="30"/>
  <c r="P38" i="21" s="1"/>
  <c r="T38" i="21" s="1"/>
  <c r="U38" i="21" s="1"/>
  <c r="O38" i="1"/>
  <c r="U25" i="30"/>
  <c r="U26" i="30"/>
  <c r="AD25" i="30"/>
  <c r="P37" i="22" s="1"/>
  <c r="AD26" i="30"/>
  <c r="P38" i="22" s="1"/>
  <c r="AM25" i="30"/>
  <c r="P37" i="23" s="1"/>
  <c r="AM26" i="30"/>
  <c r="P38" i="23" s="1"/>
  <c r="AV22" i="30"/>
  <c r="P31" i="24" s="1"/>
  <c r="T31" i="24" s="1"/>
  <c r="AV25" i="30"/>
  <c r="P37" i="24" s="1"/>
  <c r="AV26" i="30"/>
  <c r="P38" i="24" s="1"/>
  <c r="O45" i="1"/>
  <c r="L30" i="30"/>
  <c r="O46" i="1"/>
  <c r="L31" i="30"/>
  <c r="O47" i="1"/>
  <c r="L38" i="25" s="1"/>
  <c r="L32" i="30"/>
  <c r="O48" i="1"/>
  <c r="L39" i="25" s="1"/>
  <c r="L33" i="30"/>
  <c r="U30" i="30"/>
  <c r="U31" i="30"/>
  <c r="P46" i="21" s="1"/>
  <c r="U32" i="30"/>
  <c r="P47" i="21" s="1"/>
  <c r="U33" i="30"/>
  <c r="P48" i="21" s="1"/>
  <c r="AD30" i="30"/>
  <c r="AD31" i="30"/>
  <c r="P46" i="22" s="1"/>
  <c r="AD32" i="30"/>
  <c r="P47" i="22" s="1"/>
  <c r="AD33" i="30"/>
  <c r="P48" i="22" s="1"/>
  <c r="AM30" i="30"/>
  <c r="AM31" i="30"/>
  <c r="P46" i="23" s="1"/>
  <c r="AM32" i="30"/>
  <c r="P47" i="23" s="1"/>
  <c r="AM33" i="30"/>
  <c r="P48" i="23" s="1"/>
  <c r="AV30" i="30"/>
  <c r="AV31" i="30"/>
  <c r="P46" i="24" s="1"/>
  <c r="AV32" i="30"/>
  <c r="P47" i="24" s="1"/>
  <c r="AV33" i="30"/>
  <c r="P48" i="24" s="1"/>
  <c r="P12" i="1"/>
  <c r="P30" i="1"/>
  <c r="M26" i="25" s="1"/>
  <c r="R12" i="21"/>
  <c r="N52" i="1"/>
  <c r="R14" i="1"/>
  <c r="R24" i="1" s="1"/>
  <c r="R30" i="1"/>
  <c r="R39" i="1" s="1"/>
  <c r="S21" i="1"/>
  <c r="M115" i="23"/>
  <c r="R52" i="1"/>
  <c r="S30" i="1"/>
  <c r="S31" i="1"/>
  <c r="S23" i="1"/>
  <c r="S20" i="1"/>
  <c r="S18" i="1"/>
  <c r="S14" i="1"/>
  <c r="S13" i="1"/>
  <c r="J20" i="25"/>
  <c r="J21" i="25"/>
  <c r="J12" i="25"/>
  <c r="J13" i="25"/>
  <c r="J14" i="25"/>
  <c r="R12" i="22"/>
  <c r="L39" i="1"/>
  <c r="F47" i="28" s="1"/>
  <c r="P47" i="28" s="1"/>
  <c r="J27" i="25"/>
  <c r="L24" i="1"/>
  <c r="F45" i="28" l="1"/>
  <c r="P45" i="28" s="1"/>
  <c r="L54" i="1"/>
  <c r="L31" i="25"/>
  <c r="L32" i="25" s="1"/>
  <c r="AV37" i="30"/>
  <c r="AM37" i="30"/>
  <c r="AD37" i="30"/>
  <c r="U37" i="30"/>
  <c r="T37" i="21"/>
  <c r="U37" i="21" s="1"/>
  <c r="P39" i="21"/>
  <c r="U30" i="21"/>
  <c r="L36" i="25"/>
  <c r="P45" i="21"/>
  <c r="P45" i="24"/>
  <c r="P45" i="22"/>
  <c r="P45" i="23"/>
  <c r="N15" i="23"/>
  <c r="R15" i="23" s="1"/>
  <c r="R22" i="22"/>
  <c r="N15" i="24"/>
  <c r="R15" i="24" s="1"/>
  <c r="N21" i="23"/>
  <c r="R21" i="23" s="1"/>
  <c r="N21" i="24"/>
  <c r="R21" i="24" s="1"/>
  <c r="R23" i="22"/>
  <c r="R15" i="22"/>
  <c r="N22" i="23"/>
  <c r="R22" i="23" s="1"/>
  <c r="R21" i="22"/>
  <c r="N22" i="24"/>
  <c r="R22" i="24" s="1"/>
  <c r="N23" i="23"/>
  <c r="R23" i="23" s="1"/>
  <c r="N23" i="24"/>
  <c r="R23" i="24" s="1"/>
  <c r="J22" i="25"/>
  <c r="M39" i="1"/>
  <c r="J32" i="25"/>
  <c r="S46" i="1"/>
  <c r="L37" i="25"/>
  <c r="S19" i="1"/>
  <c r="M27" i="25"/>
  <c r="S15" i="1"/>
  <c r="S12" i="1"/>
  <c r="S22" i="1"/>
  <c r="R20" i="22"/>
  <c r="R19" i="22"/>
  <c r="N20" i="23"/>
  <c r="N20" i="24"/>
  <c r="R20" i="24" s="1"/>
  <c r="N19" i="23"/>
  <c r="N19" i="24"/>
  <c r="R19" i="24" s="1"/>
  <c r="L27" i="30"/>
  <c r="O15" i="22"/>
  <c r="P23" i="21"/>
  <c r="N16" i="23"/>
  <c r="AK18" i="30"/>
  <c r="AK39" i="30" s="1"/>
  <c r="N16" i="24"/>
  <c r="AT18" i="30"/>
  <c r="AT39" i="30" s="1"/>
  <c r="R16" i="22"/>
  <c r="N24" i="22"/>
  <c r="N54" i="22" s="1"/>
  <c r="O13" i="21"/>
  <c r="U7" i="30"/>
  <c r="O21" i="21"/>
  <c r="U15" i="30"/>
  <c r="P21" i="1"/>
  <c r="O19" i="21"/>
  <c r="U13" i="30"/>
  <c r="O14" i="21"/>
  <c r="U8" i="30"/>
  <c r="O20" i="21"/>
  <c r="U14" i="30"/>
  <c r="O22" i="22"/>
  <c r="AD16" i="30"/>
  <c r="P12" i="21"/>
  <c r="O23" i="22"/>
  <c r="AD17" i="30"/>
  <c r="O18" i="23"/>
  <c r="AM12" i="30"/>
  <c r="AM27" i="30"/>
  <c r="U27" i="30"/>
  <c r="AV27" i="30"/>
  <c r="AD27" i="30"/>
  <c r="P38" i="1"/>
  <c r="T38" i="23"/>
  <c r="T38" i="22"/>
  <c r="T38" i="24"/>
  <c r="P13" i="1"/>
  <c r="P37" i="1"/>
  <c r="T37" i="24"/>
  <c r="U37" i="24" s="1"/>
  <c r="T37" i="23"/>
  <c r="U37" i="23" s="1"/>
  <c r="T37" i="22"/>
  <c r="U37" i="22" s="1"/>
  <c r="S45" i="22"/>
  <c r="S12" i="21"/>
  <c r="S45" i="23"/>
  <c r="O52" i="23"/>
  <c r="O39" i="24"/>
  <c r="T30" i="24"/>
  <c r="P48" i="1"/>
  <c r="T48" i="24"/>
  <c r="T48" i="23"/>
  <c r="T48" i="22"/>
  <c r="T48" i="21"/>
  <c r="P14" i="1"/>
  <c r="S45" i="24"/>
  <c r="O52" i="24"/>
  <c r="O52" i="1"/>
  <c r="P20" i="1"/>
  <c r="P47" i="1"/>
  <c r="T47" i="22"/>
  <c r="U47" i="22" s="1"/>
  <c r="T47" i="21"/>
  <c r="U47" i="21" s="1"/>
  <c r="T47" i="24"/>
  <c r="U47" i="24" s="1"/>
  <c r="T47" i="23"/>
  <c r="U47" i="23" s="1"/>
  <c r="P19" i="1"/>
  <c r="S45" i="21"/>
  <c r="S52" i="21" s="1"/>
  <c r="O52" i="21"/>
  <c r="P46" i="1"/>
  <c r="T46" i="24"/>
  <c r="U46" i="24" s="1"/>
  <c r="T46" i="23"/>
  <c r="U46" i="23" s="1"/>
  <c r="T46" i="22"/>
  <c r="U46" i="22" s="1"/>
  <c r="T46" i="21"/>
  <c r="U46" i="21" s="1"/>
  <c r="T30" i="22"/>
  <c r="P18" i="1"/>
  <c r="T18" i="21"/>
  <c r="T18" i="22"/>
  <c r="P39" i="23"/>
  <c r="T30" i="23"/>
  <c r="O39" i="23"/>
  <c r="R39" i="22"/>
  <c r="O52" i="22"/>
  <c r="S48" i="1"/>
  <c r="S47" i="1"/>
  <c r="P45" i="1"/>
  <c r="L37" i="30"/>
  <c r="S45" i="1"/>
  <c r="S38" i="1"/>
  <c r="S37" i="1"/>
  <c r="N39" i="1"/>
  <c r="R24" i="21"/>
  <c r="N24" i="1"/>
  <c r="R39" i="23"/>
  <c r="T31" i="1"/>
  <c r="U31" i="1" s="1"/>
  <c r="O39" i="1"/>
  <c r="R39" i="24"/>
  <c r="U15" i="21"/>
  <c r="T22" i="1"/>
  <c r="U22" i="1" s="1"/>
  <c r="T23" i="1"/>
  <c r="U23" i="1" s="1"/>
  <c r="R12" i="23"/>
  <c r="T39" i="21" l="1"/>
  <c r="M54" i="1"/>
  <c r="M115" i="1" s="1"/>
  <c r="J45" i="25"/>
  <c r="N54" i="1"/>
  <c r="M121" i="21"/>
  <c r="M36" i="25"/>
  <c r="K13" i="25"/>
  <c r="K19" i="25"/>
  <c r="K20" i="25"/>
  <c r="K21" i="25"/>
  <c r="R24" i="22"/>
  <c r="T18" i="1"/>
  <c r="U18" i="1" s="1"/>
  <c r="T46" i="1"/>
  <c r="U46" i="1" s="1"/>
  <c r="M37" i="25"/>
  <c r="T19" i="1"/>
  <c r="U19" i="1" s="1"/>
  <c r="T47" i="1"/>
  <c r="U47" i="1" s="1"/>
  <c r="M38" i="25"/>
  <c r="T20" i="1"/>
  <c r="U20" i="1" s="1"/>
  <c r="T48" i="1"/>
  <c r="U48" i="1" s="1"/>
  <c r="M39" i="25"/>
  <c r="T37" i="1"/>
  <c r="U37" i="1" s="1"/>
  <c r="M30" i="25"/>
  <c r="T13" i="1"/>
  <c r="U13" i="1" s="1"/>
  <c r="T38" i="1"/>
  <c r="U38" i="1" s="1"/>
  <c r="M31" i="25"/>
  <c r="S18" i="23"/>
  <c r="S23" i="22"/>
  <c r="T12" i="21"/>
  <c r="S22" i="22"/>
  <c r="S20" i="21"/>
  <c r="S14" i="21"/>
  <c r="S19" i="21"/>
  <c r="S21" i="21"/>
  <c r="S13" i="21"/>
  <c r="K14" i="25"/>
  <c r="T23" i="21"/>
  <c r="U23" i="21" s="1"/>
  <c r="S15" i="22"/>
  <c r="R19" i="23"/>
  <c r="K17" i="25"/>
  <c r="R20" i="23"/>
  <c r="K18" i="25"/>
  <c r="AD9" i="30"/>
  <c r="P15" i="22" s="1"/>
  <c r="R16" i="24"/>
  <c r="N24" i="24"/>
  <c r="N54" i="24" s="1"/>
  <c r="R16" i="23"/>
  <c r="N24" i="23"/>
  <c r="N54" i="23" s="1"/>
  <c r="P13" i="21"/>
  <c r="P14" i="21"/>
  <c r="P19" i="21"/>
  <c r="P21" i="21"/>
  <c r="P20" i="21"/>
  <c r="O13" i="22"/>
  <c r="AD7" i="30"/>
  <c r="P23" i="22"/>
  <c r="P22" i="22"/>
  <c r="P18" i="23"/>
  <c r="P39" i="22"/>
  <c r="U31" i="22"/>
  <c r="S39" i="1"/>
  <c r="P39" i="24"/>
  <c r="P52" i="1"/>
  <c r="T45" i="22"/>
  <c r="U38" i="22"/>
  <c r="T45" i="23"/>
  <c r="U45" i="23" s="1"/>
  <c r="U38" i="23"/>
  <c r="T45" i="24"/>
  <c r="U48" i="24"/>
  <c r="T45" i="21"/>
  <c r="T52" i="21" s="1"/>
  <c r="U38" i="24"/>
  <c r="S52" i="1"/>
  <c r="L43" i="25"/>
  <c r="M43" i="25"/>
  <c r="T45" i="1"/>
  <c r="S39" i="22"/>
  <c r="T21" i="1"/>
  <c r="U21" i="1" s="1"/>
  <c r="S39" i="24"/>
  <c r="U30" i="22"/>
  <c r="S39" i="23"/>
  <c r="P39" i="1"/>
  <c r="T30" i="1"/>
  <c r="U30" i="1" s="1"/>
  <c r="T15" i="1"/>
  <c r="U15" i="1" s="1"/>
  <c r="T14" i="1"/>
  <c r="U14" i="1" s="1"/>
  <c r="U31" i="24"/>
  <c r="T12" i="1"/>
  <c r="AC6" i="30" s="1" a="1"/>
  <c r="AC6" i="30" s="1"/>
  <c r="AD6" i="30" s="1"/>
  <c r="U31" i="23"/>
  <c r="U30" i="24"/>
  <c r="U30" i="23"/>
  <c r="O12" i="22" l="1"/>
  <c r="K119" i="1"/>
  <c r="R24" i="23"/>
  <c r="M32" i="25"/>
  <c r="T18" i="23"/>
  <c r="T22" i="22"/>
  <c r="T23" i="22"/>
  <c r="U23" i="22" s="1"/>
  <c r="T15" i="22"/>
  <c r="U15" i="22" s="1"/>
  <c r="S13" i="22"/>
  <c r="T20" i="21"/>
  <c r="U20" i="21" s="1"/>
  <c r="T21" i="21"/>
  <c r="U21" i="21" s="1"/>
  <c r="T19" i="21"/>
  <c r="U19" i="21" s="1"/>
  <c r="T14" i="21"/>
  <c r="U14" i="21" s="1"/>
  <c r="T13" i="21"/>
  <c r="U13" i="21" s="1"/>
  <c r="K22" i="25"/>
  <c r="K45" i="25" s="1"/>
  <c r="O20" i="22"/>
  <c r="AD14" i="30"/>
  <c r="AD15" i="30"/>
  <c r="O21" i="22"/>
  <c r="O19" i="22"/>
  <c r="AD13" i="30"/>
  <c r="U18" i="21"/>
  <c r="O14" i="22"/>
  <c r="AD8" i="30"/>
  <c r="P13" i="22"/>
  <c r="S12" i="22"/>
  <c r="O22" i="23"/>
  <c r="AM16" i="30"/>
  <c r="P12" i="22"/>
  <c r="O23" i="23"/>
  <c r="AM17" i="30"/>
  <c r="O15" i="23"/>
  <c r="AM9" i="30"/>
  <c r="O18" i="24"/>
  <c r="AV12" i="30"/>
  <c r="P18" i="24" s="1"/>
  <c r="P52" i="24"/>
  <c r="U45" i="21"/>
  <c r="U45" i="22"/>
  <c r="U48" i="21"/>
  <c r="P52" i="21"/>
  <c r="U48" i="23"/>
  <c r="P52" i="23"/>
  <c r="U48" i="22"/>
  <c r="P52" i="22"/>
  <c r="U45" i="24"/>
  <c r="U45" i="1"/>
  <c r="T52" i="1"/>
  <c r="U12" i="21"/>
  <c r="U12" i="1"/>
  <c r="R12" i="24"/>
  <c r="T39" i="23"/>
  <c r="T39" i="24"/>
  <c r="T39" i="22"/>
  <c r="T39" i="1"/>
  <c r="T18" i="24" l="1"/>
  <c r="M16" i="25"/>
  <c r="S18" i="24"/>
  <c r="L16" i="25"/>
  <c r="S15" i="23"/>
  <c r="S23" i="23"/>
  <c r="S22" i="23"/>
  <c r="S14" i="22"/>
  <c r="S19" i="22"/>
  <c r="S21" i="22"/>
  <c r="S20" i="22"/>
  <c r="P19" i="22"/>
  <c r="P21" i="22"/>
  <c r="P14" i="22"/>
  <c r="P20" i="22"/>
  <c r="P23" i="23"/>
  <c r="T12" i="22"/>
  <c r="U12" i="22" s="1"/>
  <c r="P15" i="23"/>
  <c r="AM6" i="30"/>
  <c r="O12" i="23"/>
  <c r="P22" i="23"/>
  <c r="AM7" i="30"/>
  <c r="O13" i="23"/>
  <c r="T13" i="22"/>
  <c r="U13" i="22" s="1"/>
  <c r="R24" i="24"/>
  <c r="S13" i="23" l="1"/>
  <c r="T19" i="22"/>
  <c r="U19" i="22" s="1"/>
  <c r="T20" i="22"/>
  <c r="U20" i="22" s="1"/>
  <c r="U18" i="22"/>
  <c r="AM14" i="30"/>
  <c r="O20" i="23"/>
  <c r="T14" i="22"/>
  <c r="U14" i="22" s="1"/>
  <c r="O14" i="23"/>
  <c r="AM8" i="30"/>
  <c r="T21" i="22"/>
  <c r="U21" i="22" s="1"/>
  <c r="AM15" i="30"/>
  <c r="O21" i="23"/>
  <c r="O19" i="23"/>
  <c r="AM13" i="30"/>
  <c r="T15" i="23"/>
  <c r="U15" i="23" s="1"/>
  <c r="P12" i="23"/>
  <c r="P13" i="23"/>
  <c r="S12" i="23"/>
  <c r="O22" i="24"/>
  <c r="AV16" i="30"/>
  <c r="P22" i="24" s="1"/>
  <c r="M20" i="25" s="1"/>
  <c r="T22" i="23"/>
  <c r="O23" i="24"/>
  <c r="AV17" i="30"/>
  <c r="P23" i="24" s="1"/>
  <c r="M21" i="25" s="1"/>
  <c r="AV9" i="30"/>
  <c r="P15" i="24" s="1"/>
  <c r="M13" i="25" s="1"/>
  <c r="O15" i="24"/>
  <c r="T23" i="23"/>
  <c r="U23" i="23" s="1"/>
  <c r="S15" i="24" l="1"/>
  <c r="L13" i="25"/>
  <c r="S23" i="24"/>
  <c r="L21" i="25"/>
  <c r="S22" i="24"/>
  <c r="L20" i="25"/>
  <c r="S19" i="23"/>
  <c r="S21" i="23"/>
  <c r="S14" i="23"/>
  <c r="S20" i="23"/>
  <c r="P14" i="23"/>
  <c r="P19" i="23"/>
  <c r="P21" i="23"/>
  <c r="P20" i="23"/>
  <c r="T13" i="23"/>
  <c r="U13" i="23" s="1"/>
  <c r="O13" i="24"/>
  <c r="AV7" i="30"/>
  <c r="P13" i="24" s="1"/>
  <c r="M11" i="25" s="1"/>
  <c r="T15" i="24"/>
  <c r="U15" i="24" s="1"/>
  <c r="T22" i="24"/>
  <c r="AV6" i="30"/>
  <c r="O12" i="24"/>
  <c r="L10" i="25" s="1"/>
  <c r="T12" i="23"/>
  <c r="T23" i="24"/>
  <c r="U23" i="24" s="1"/>
  <c r="S13" i="24" l="1"/>
  <c r="L11" i="25"/>
  <c r="T19" i="23"/>
  <c r="U19" i="23" s="1"/>
  <c r="U18" i="23"/>
  <c r="T20" i="23"/>
  <c r="U20" i="23" s="1"/>
  <c r="AV14" i="30"/>
  <c r="P20" i="24" s="1"/>
  <c r="M18" i="25" s="1"/>
  <c r="O20" i="24"/>
  <c r="O21" i="24"/>
  <c r="AV15" i="30"/>
  <c r="P21" i="24" s="1"/>
  <c r="M19" i="25" s="1"/>
  <c r="T21" i="23"/>
  <c r="U21" i="23" s="1"/>
  <c r="O19" i="24"/>
  <c r="AV13" i="30"/>
  <c r="P19" i="24" s="1"/>
  <c r="T14" i="23"/>
  <c r="U14" i="23" s="1"/>
  <c r="AV8" i="30"/>
  <c r="P14" i="24" s="1"/>
  <c r="M12" i="25" s="1"/>
  <c r="O14" i="24"/>
  <c r="U12" i="23"/>
  <c r="T13" i="24"/>
  <c r="U13" i="24" s="1"/>
  <c r="S12" i="24"/>
  <c r="P12" i="24"/>
  <c r="M10" i="25" s="1"/>
  <c r="C10" i="30"/>
  <c r="C11" i="30"/>
  <c r="S14" i="24" l="1"/>
  <c r="L12" i="25"/>
  <c r="T19" i="24"/>
  <c r="U19" i="24" s="1"/>
  <c r="M17" i="25"/>
  <c r="S19" i="24"/>
  <c r="L17" i="25"/>
  <c r="S21" i="24"/>
  <c r="L19" i="25"/>
  <c r="S20" i="24"/>
  <c r="L18" i="25"/>
  <c r="L11" i="30"/>
  <c r="O17" i="1"/>
  <c r="O16" i="1"/>
  <c r="L10" i="30"/>
  <c r="K18" i="30"/>
  <c r="K39" i="30" s="1"/>
  <c r="T21" i="24"/>
  <c r="U21" i="24" s="1"/>
  <c r="T20" i="24"/>
  <c r="U20" i="24" s="1"/>
  <c r="U18" i="24"/>
  <c r="T14" i="24"/>
  <c r="U14" i="24" s="1"/>
  <c r="T12" i="24"/>
  <c r="S17" i="1" l="1"/>
  <c r="P16" i="1"/>
  <c r="L18" i="30"/>
  <c r="S16" i="1"/>
  <c r="O24" i="1"/>
  <c r="O54" i="1" s="1"/>
  <c r="P17" i="1"/>
  <c r="U12" i="24"/>
  <c r="L39" i="30" l="1"/>
  <c r="L100" i="30" s="1"/>
  <c r="S24" i="1"/>
  <c r="T17" i="1"/>
  <c r="U17" i="1" s="1"/>
  <c r="O17" i="21"/>
  <c r="U11" i="30"/>
  <c r="T16" i="1"/>
  <c r="P24" i="1"/>
  <c r="T18" i="30"/>
  <c r="T39" i="30" s="1"/>
  <c r="O16" i="21"/>
  <c r="U10" i="30"/>
  <c r="J104" i="30" l="1"/>
  <c r="L104" i="30" s="1"/>
  <c r="N115" i="1"/>
  <c r="P54" i="1"/>
  <c r="S17" i="21"/>
  <c r="U18" i="30"/>
  <c r="P16" i="21"/>
  <c r="S16" i="21"/>
  <c r="O24" i="21"/>
  <c r="O54" i="21" s="1"/>
  <c r="U16" i="1"/>
  <c r="T24" i="1"/>
  <c r="P17" i="21"/>
  <c r="N119" i="1" l="1"/>
  <c r="U39" i="30"/>
  <c r="U100" i="30" s="1"/>
  <c r="S24" i="21"/>
  <c r="AD11" i="30"/>
  <c r="O17" i="22"/>
  <c r="T17" i="21"/>
  <c r="U17" i="21" s="1"/>
  <c r="P24" i="21"/>
  <c r="P54" i="21" s="1"/>
  <c r="T16" i="21"/>
  <c r="AC18" i="30"/>
  <c r="AC39" i="30" s="1"/>
  <c r="O16" i="22"/>
  <c r="AD10" i="30"/>
  <c r="N115" i="21" l="1"/>
  <c r="S104" i="30"/>
  <c r="U104" i="30" s="1"/>
  <c r="T24" i="21"/>
  <c r="S17" i="22"/>
  <c r="U16" i="21"/>
  <c r="AD18" i="30"/>
  <c r="P16" i="22"/>
  <c r="S16" i="22"/>
  <c r="O24" i="22"/>
  <c r="O54" i="22" s="1"/>
  <c r="U22" i="21"/>
  <c r="P17" i="22"/>
  <c r="N119" i="21" l="1"/>
  <c r="AD39" i="30"/>
  <c r="AD100" i="30" s="1"/>
  <c r="S24" i="22"/>
  <c r="AM11" i="30"/>
  <c r="O17" i="23"/>
  <c r="T17" i="22"/>
  <c r="U17" i="22" s="1"/>
  <c r="T16" i="22"/>
  <c r="U16" i="22" s="1"/>
  <c r="P24" i="22"/>
  <c r="P54" i="22" s="1"/>
  <c r="AL39" i="30"/>
  <c r="O16" i="23"/>
  <c r="AM10" i="30"/>
  <c r="AB104" i="30" l="1"/>
  <c r="AD104" i="30" s="1"/>
  <c r="N115" i="22"/>
  <c r="S17" i="23"/>
  <c r="T24" i="22"/>
  <c r="AM18" i="30"/>
  <c r="P16" i="23"/>
  <c r="S16" i="23"/>
  <c r="O24" i="23"/>
  <c r="O54" i="23" s="1"/>
  <c r="U22" i="22"/>
  <c r="P17" i="23"/>
  <c r="N119" i="22" l="1"/>
  <c r="AM39" i="30"/>
  <c r="AM100" i="30" s="1"/>
  <c r="S24" i="23"/>
  <c r="T17" i="23"/>
  <c r="U17" i="23" s="1"/>
  <c r="AV11" i="30"/>
  <c r="P17" i="24" s="1"/>
  <c r="M15" i="25" s="1"/>
  <c r="O17" i="24"/>
  <c r="AU18" i="30"/>
  <c r="AU39" i="30" s="1"/>
  <c r="AV10" i="30"/>
  <c r="O16" i="24"/>
  <c r="L14" i="25" s="1"/>
  <c r="T16" i="23"/>
  <c r="P24" i="23"/>
  <c r="P54" i="23" s="1"/>
  <c r="AK104" i="30" l="1"/>
  <c r="AM104" i="30" s="1"/>
  <c r="N115" i="23"/>
  <c r="S17" i="24"/>
  <c r="L15" i="25"/>
  <c r="L22" i="25" s="1"/>
  <c r="L45" i="25" s="1"/>
  <c r="U22" i="23"/>
  <c r="U16" i="23"/>
  <c r="T24" i="23"/>
  <c r="S16" i="24"/>
  <c r="O24" i="24"/>
  <c r="O54" i="24" s="1"/>
  <c r="P16" i="24"/>
  <c r="M14" i="25" s="1"/>
  <c r="M22" i="25" s="1"/>
  <c r="AV18" i="30"/>
  <c r="T17" i="24"/>
  <c r="U17" i="24" s="1"/>
  <c r="N119" i="23" l="1"/>
  <c r="AV39" i="30"/>
  <c r="AV100" i="30" s="1"/>
  <c r="M45" i="25"/>
  <c r="K106" i="25" s="1"/>
  <c r="S24" i="24"/>
  <c r="T16" i="24"/>
  <c r="P24" i="24"/>
  <c r="P54" i="24" s="1"/>
  <c r="AT104" i="30" l="1"/>
  <c r="AV104" i="30" s="1"/>
  <c r="N115" i="24"/>
  <c r="U22" i="24"/>
  <c r="U16" i="24"/>
  <c r="T24" i="24"/>
  <c r="F110" i="25"/>
  <c r="P123" i="1" l="1"/>
  <c r="M119" i="1"/>
  <c r="N119" i="24"/>
  <c r="K110" i="25"/>
  <c r="K112" i="25" s="1"/>
  <c r="K20" i="28" s="1"/>
  <c r="H119" i="24"/>
  <c r="H119" i="23"/>
  <c r="H119" i="22"/>
  <c r="F58" i="28" l="1"/>
  <c r="F59" i="28" s="1"/>
  <c r="M121" i="1"/>
  <c r="N121" i="21" l="1"/>
  <c r="N121" i="1"/>
  <c r="L106" i="30"/>
  <c r="U106" i="30"/>
  <c r="N121" i="22"/>
  <c r="AD106" i="30"/>
  <c r="N121" i="23"/>
  <c r="AM106" i="30"/>
  <c r="N121" i="24"/>
  <c r="AV106" i="30"/>
  <c r="M123" i="21" l="1"/>
  <c r="M123" i="1"/>
  <c r="L79" i="23"/>
  <c r="L81" i="23" s="1"/>
  <c r="M117" i="23" s="1"/>
  <c r="L79" i="22"/>
  <c r="L79" i="24"/>
  <c r="L81" i="24" s="1"/>
  <c r="M117" i="24" s="1"/>
  <c r="M115" i="22"/>
  <c r="J70" i="25"/>
  <c r="J72" i="25" s="1"/>
  <c r="J106" i="25" s="1"/>
  <c r="K119" i="23" l="1"/>
  <c r="P123" i="23"/>
  <c r="K119" i="24"/>
  <c r="P123" i="24"/>
  <c r="I70" i="25"/>
  <c r="I72" i="25" s="1"/>
  <c r="J108" i="25" s="1"/>
  <c r="M114" i="25" s="1"/>
  <c r="L81" i="22"/>
  <c r="M117" i="22" s="1"/>
  <c r="M119" i="23" l="1"/>
  <c r="M119" i="24"/>
  <c r="H110" i="25"/>
  <c r="K119" i="22"/>
  <c r="P123" i="22"/>
  <c r="N58" i="28" l="1"/>
  <c r="N59" i="28" s="1"/>
  <c r="L58" i="28"/>
  <c r="L59" i="28" s="1"/>
  <c r="M121" i="23"/>
  <c r="M123" i="23" s="1"/>
  <c r="M119" i="22"/>
  <c r="J110" i="25" s="1"/>
  <c r="M121" i="24"/>
  <c r="J58" i="28" l="1"/>
  <c r="J112" i="25"/>
  <c r="J114" i="25" s="1"/>
  <c r="M121" i="22"/>
  <c r="M123" i="22" s="1"/>
  <c r="M123" i="24"/>
  <c r="J59" i="28" l="1"/>
  <c r="P59" i="28" s="1"/>
  <c r="P58" i="28"/>
  <c r="B80"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Samantha Ellithorpe</author>
  </authors>
  <commentList>
    <comment ref="C42" authorId="0" shapeId="0" xr:uid="{4ABA5473-416A-4E7D-89F1-67D2D905E0C7}">
      <text>
        <r>
          <rPr>
            <sz val="11"/>
            <color theme="1"/>
            <rFont val="Calibri"/>
            <family val="2"/>
            <scheme val="minor"/>
          </rPr>
          <t>Select allowable F&amp;A Rate in the drop-down menu based on sponsor requirements.
Research On-Campus = WCU's Negotiated Rate of 44.24%.
Research Off-Campus = WCU's Negotiated Rate of 18.61%.
No F&amp;A = 0%
Other Sponsor Limitation = Enter Allowable F&amp;A 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Samantha Ellithorpe</author>
  </authors>
  <commentList>
    <comment ref="N10" authorId="0" shapeId="0" xr:uid="{5D88286A-AB61-436F-8669-DE5462AACF9D}">
      <text>
        <r>
          <rPr>
            <sz val="11"/>
            <color theme="1"/>
            <rFont val="Calibri"/>
            <family val="2"/>
            <scheme val="minor"/>
          </rPr>
          <t>Enter all cost share into the Cost Share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<sst xmlns="http://schemas.openxmlformats.org/spreadsheetml/2006/main" count="2951" uniqueCount="1051">
  <si>
    <t>Western Carolina University Proposal Development Checklist</t>
  </si>
  <si>
    <t>Project Overview</t>
  </si>
  <si>
    <t>PI Name:</t>
  </si>
  <si>
    <t>Project Title:</t>
  </si>
  <si>
    <t>Sponsor:</t>
  </si>
  <si>
    <t>Program Title:</t>
  </si>
  <si>
    <t>Funding Opportunity Number:</t>
  </si>
  <si>
    <t>CFDA Number:</t>
  </si>
  <si>
    <t>Award Type:</t>
  </si>
  <si>
    <t>Anticipated Award Date:</t>
  </si>
  <si>
    <t>Grant Period</t>
  </si>
  <si>
    <t>to</t>
  </si>
  <si>
    <t>State Date</t>
  </si>
  <si>
    <t>End Date</t>
  </si>
  <si>
    <t>Period of Performance</t>
  </si>
  <si>
    <t>Submission Deadlines</t>
  </si>
  <si>
    <t>Internal Routing Deadline</t>
  </si>
  <si>
    <t>Date</t>
  </si>
  <si>
    <t>Time</t>
  </si>
  <si>
    <t>External Submission Deadline</t>
  </si>
  <si>
    <t>Submission Process</t>
  </si>
  <si>
    <t>Submitted By:</t>
  </si>
  <si>
    <t>Submission URL:</t>
  </si>
  <si>
    <t>Eligibility</t>
  </si>
  <si>
    <t>PI Eligibility Requirements:</t>
  </si>
  <si>
    <t>Institution Eligibility Requirements:</t>
  </si>
  <si>
    <t>Other Requirements and Restrictions:</t>
  </si>
  <si>
    <t>Budget Limitations</t>
  </si>
  <si>
    <t>Maximum Request Amount:</t>
  </si>
  <si>
    <t>Allowable IDC Rate:</t>
  </si>
  <si>
    <t>Research (On-Campus)</t>
  </si>
  <si>
    <t>F&amp;A Rate Policy:</t>
  </si>
  <si>
    <t>Cost Share Requirement:</t>
  </si>
  <si>
    <t>Required Expenses:</t>
  </si>
  <si>
    <t>a.</t>
  </si>
  <si>
    <t>b.</t>
  </si>
  <si>
    <t>c.</t>
  </si>
  <si>
    <t>d.</t>
  </si>
  <si>
    <t>e.</t>
  </si>
  <si>
    <t>f.</t>
  </si>
  <si>
    <t>Unallowable Costs:</t>
  </si>
  <si>
    <t>Compliance Checklist</t>
  </si>
  <si>
    <t>Required Item</t>
  </si>
  <si>
    <t>Notes About Requirement</t>
  </si>
  <si>
    <t>Responsible Party</t>
  </si>
  <si>
    <t>Status</t>
  </si>
  <si>
    <t>COI ATTESTATION</t>
  </si>
  <si>
    <r>
      <t xml:space="preserve">According to Policy 54, all covered employees must complete a project-specific Conflict of Interest attestation in InfoEd before a proposal can be submitted. Please submit this disclosure as soon as possible so we can submit your application.
To prepare for your submission, please re-certify your annual disclosure in InfoEd. If you need some quick How to Steps, they are provided below. For any further questions, don't hesitate to reach out.
</t>
    </r>
    <r>
      <rPr>
        <b/>
        <u/>
        <sz val="11"/>
        <color theme="1"/>
        <rFont val="Calibri"/>
        <family val="2"/>
        <scheme val="minor"/>
      </rPr>
      <t xml:space="preserve">You can update your disclosure as follows: </t>
    </r>
    <r>
      <rPr>
        <sz val="11"/>
        <color theme="1"/>
        <rFont val="Calibri"/>
        <family val="2"/>
        <scheme val="minor"/>
      </rPr>
      <t xml:space="preserve">
1. Login to the InfoEd Portal 
2. Select "Re-Certify or Update Disclosure" on the Home Page 
3. Complete the Disclosure 
     a. If you have not done so, already, please select "Yes" to question 2 on the pre-screening page to indicate you are applying for external funding. 
     b. List your project information under the question, “Please list the specific project(s) associated with this disclosure:” 
4. Please continue through the form and make sure there are no additional changes needed based on this funding or otherwise. 
5. Click "Certify and Submit". </t>
    </r>
  </si>
  <si>
    <t>PI</t>
  </si>
  <si>
    <t>Not Started</t>
  </si>
  <si>
    <t>Co-PI</t>
  </si>
  <si>
    <t>N/A</t>
  </si>
  <si>
    <t>Other Personnel</t>
  </si>
  <si>
    <t>TRAINING</t>
  </si>
  <si>
    <t>Research Security Training</t>
  </si>
  <si>
    <t>Responsible and Ethical Conduct of Research (RECR)</t>
  </si>
  <si>
    <t>ABC Training</t>
  </si>
  <si>
    <t>XYZ Training</t>
  </si>
  <si>
    <t>Proposal Content</t>
  </si>
  <si>
    <t>College-Specific Grants Checklist</t>
  </si>
  <si>
    <t>College-specific checklists must be completed by faculty in the following colleges and signed prior to routing:
- College of Arts and Sciences
- College of Education and Allied Professions
- College of Fine and Performing Arts</t>
  </si>
  <si>
    <t>WCU Key Personnel</t>
  </si>
  <si>
    <t>Page/Word Limit</t>
  </si>
  <si>
    <t>Formatting Requirements</t>
  </si>
  <si>
    <t>Font Type:</t>
  </si>
  <si>
    <t>Font Size:</t>
  </si>
  <si>
    <t>Text Spacing:</t>
  </si>
  <si>
    <t>Margin Size:</t>
  </si>
  <si>
    <t>Headers/Footers/Page Numbers:</t>
  </si>
  <si>
    <t>File Names:</t>
  </si>
  <si>
    <t>Other Requirements:</t>
  </si>
  <si>
    <t>Western Carolina University Budget Summary</t>
  </si>
  <si>
    <t xml:space="preserve">InfoEd Proposal Number: </t>
  </si>
  <si>
    <t xml:space="preserve">Project Start Date: </t>
  </si>
  <si>
    <t xml:space="preserve">Project End Date: </t>
  </si>
  <si>
    <t xml:space="preserve">PI Name: </t>
  </si>
  <si>
    <t xml:space="preserve">Project Title: </t>
  </si>
  <si>
    <t xml:space="preserve">Budget Status: </t>
  </si>
  <si>
    <t>Proposed Budget</t>
  </si>
  <si>
    <t>1) F&amp;A Rate</t>
  </si>
  <si>
    <t>Enter the institution that will be responsible for the final submission and select the appropriate F&amp;A rate from the drop down menu. Select "Other Sponsor Limitation" to enter the F&amp;A rate manually.</t>
  </si>
  <si>
    <t xml:space="preserve">Primary Submitting Institution: </t>
  </si>
  <si>
    <t xml:space="preserve">Allowable F&amp;A Rate: </t>
  </si>
  <si>
    <t>2) Cost Share</t>
  </si>
  <si>
    <t>Select Yes or No from the drop down menu. If the project involves cost share, the total cost share amount will auto-fill from the Cumulative Cost tab.</t>
  </si>
  <si>
    <t xml:space="preserve">Will the project involve cost sharing? </t>
  </si>
  <si>
    <t>No</t>
  </si>
  <si>
    <t>3) Equipment</t>
  </si>
  <si>
    <t>Select Yes or No from the drop down menu. If the project includes an equipment purchase, the total equipment amount will auto-fill from the Cumulative Cost tab.</t>
  </si>
  <si>
    <t xml:space="preserve">Will the project include equipment purchase? </t>
  </si>
  <si>
    <t>4) Subawards</t>
  </si>
  <si>
    <t>Select Yes or No from the drop down menu. If the project includes outgoing subawards, the total subaward amount will auto-fill from the Cumulative Cost tab.</t>
  </si>
  <si>
    <t xml:space="preserve">Will the project include Subawards? </t>
  </si>
  <si>
    <t>5) Project Information</t>
  </si>
  <si>
    <t>Fill in this information as applicable.</t>
  </si>
  <si>
    <t xml:space="preserve">Annual Inflationary Increase: </t>
  </si>
  <si>
    <t xml:space="preserve">Enter Total Cost Cap: </t>
  </si>
  <si>
    <t xml:space="preserve">Enter the Name of the Sponsor: </t>
  </si>
  <si>
    <t>6) Budget Summary</t>
  </si>
  <si>
    <t>Enter the dates for each of the budget periods of the project. The total costs per budget period will flow from each Budget Year tab.</t>
  </si>
  <si>
    <t>Category</t>
  </si>
  <si>
    <t>Budget Year 1</t>
  </si>
  <si>
    <t>Budget Year 2</t>
  </si>
  <si>
    <t>Budget Year 3</t>
  </si>
  <si>
    <t>Budget Year 4</t>
  </si>
  <si>
    <t>Budget Year 5</t>
  </si>
  <si>
    <t>Total</t>
  </si>
  <si>
    <t>Personnel</t>
  </si>
  <si>
    <t>Key Personnel Salary</t>
  </si>
  <si>
    <t>Key Personnel Fringe</t>
  </si>
  <si>
    <t>Part-Time Personnel Salary</t>
  </si>
  <si>
    <t>Part-Time Personnel Fringe</t>
  </si>
  <si>
    <t>Student Salary</t>
  </si>
  <si>
    <t>Student Fringe</t>
  </si>
  <si>
    <t>IDC Exempt Costs</t>
  </si>
  <si>
    <t>Tuition Remission</t>
  </si>
  <si>
    <t>Equipment</t>
  </si>
  <si>
    <t>Participant Support</t>
  </si>
  <si>
    <t>Subawards Out</t>
  </si>
  <si>
    <t>Other Direct Costs</t>
  </si>
  <si>
    <t>Travel</t>
  </si>
  <si>
    <t>Indirect Costs</t>
  </si>
  <si>
    <t>Period 1 Start:</t>
  </si>
  <si>
    <t>WESTERN CAROLINA UNIVERSITY</t>
  </si>
  <si>
    <t>SPONSOR:</t>
  </si>
  <si>
    <t>PI:</t>
  </si>
  <si>
    <t>Period 1 End:</t>
  </si>
  <si>
    <t>Title:</t>
  </si>
  <si>
    <t>FY:</t>
  </si>
  <si>
    <t>This Template is password protected.  If changes are needed please call Ext. 3180</t>
  </si>
  <si>
    <t>PERSONNEL</t>
  </si>
  <si>
    <t>WCU FACULTY AND STAFF</t>
  </si>
  <si>
    <t>INTERNAL ORA USE</t>
  </si>
  <si>
    <r>
      <rPr>
        <i/>
        <sz val="10"/>
        <rFont val="Tahoma"/>
        <family val="2"/>
      </rPr>
      <t xml:space="preserve">Instructions: For full-time faculty and staff, 1. enter your appointed term length in months (i.e. 9, 10, 11, or 12), 2. select the appropriate retirement plan from the drop-down menu, 3. enter your current institutional base salary, and 4. enter the number of acadmic and summer months for which you are requesting salary. If the SUMR MONTHS column turns </t>
    </r>
    <r>
      <rPr>
        <i/>
        <sz val="10"/>
        <color rgb="FFFF0000"/>
        <rFont val="Tahoma"/>
        <family val="2"/>
      </rPr>
      <t>red</t>
    </r>
    <r>
      <rPr>
        <i/>
        <sz val="10"/>
        <rFont val="Tahoma"/>
        <family val="2"/>
      </rPr>
      <t>, you are over the allowable summer months you can request funding for and will need to reduce the number of summer months worked.</t>
    </r>
  </si>
  <si>
    <t>COST-SHARE</t>
  </si>
  <si>
    <t xml:space="preserve">INFOED BUDGET ENTRY	</t>
  </si>
  <si>
    <t>Appointment Term (Months)</t>
  </si>
  <si>
    <t>Select
Retirement Plan</t>
  </si>
  <si>
    <t>Employee Account Code</t>
  </si>
  <si>
    <t>Name &amp; Role</t>
  </si>
  <si>
    <t>PM</t>
  </si>
  <si>
    <t>ACAD YR EFFORT</t>
  </si>
  <si>
    <t>SUMR MONTHS</t>
  </si>
  <si>
    <t>BASE SALARY</t>
  </si>
  <si>
    <t>SALARY REQUEST</t>
  </si>
  <si>
    <t>FRINGE</t>
  </si>
  <si>
    <t>SUBTOTAL</t>
  </si>
  <si>
    <t>COST-SHARE SALARY</t>
  </si>
  <si>
    <t>COST-SHARE FRINGE</t>
  </si>
  <si>
    <t>COST-SHARE SUBTOTAL</t>
  </si>
  <si>
    <t>TOTAL SALARY</t>
  </si>
  <si>
    <t>TOTAL FRINGE</t>
  </si>
  <si>
    <t>TOTAL</t>
  </si>
  <si>
    <t>% SPONSOR</t>
  </si>
  <si>
    <t xml:space="preserve"> </t>
  </si>
  <si>
    <t>TOTAL FACULTY AND STAFF</t>
  </si>
  <si>
    <r>
      <t xml:space="preserve">WCU PART-TIME STAFF - </t>
    </r>
    <r>
      <rPr>
        <i/>
        <sz val="10"/>
        <rFont val="Tahoma"/>
        <family val="2"/>
      </rPr>
      <t>If FTE &gt; .75 but &lt; 1.00</t>
    </r>
  </si>
  <si>
    <t>Instructions: Enter any part-time employees that will be working between .75 and 1.0 FTE (i.e. will work between 30-39 hours per week for 3 or more months). Employees in this category will be eligible for health care coverage under the affordable care act but will not participate in retirement. Fringe includes the health insurance premium pro-rated to % effort ($184.36/month), 7.65% social security, and 1% for unemployment.</t>
  </si>
  <si>
    <t>Object Code</t>
  </si>
  <si>
    <t>Name</t>
  </si>
  <si>
    <t>% EFFORT</t>
  </si>
  <si>
    <t>SALARY REQUST</t>
  </si>
  <si>
    <t>Non-Student Temp - 131010</t>
  </si>
  <si>
    <r>
      <t xml:space="preserve">WCU PART-TIME - </t>
    </r>
    <r>
      <rPr>
        <i/>
        <sz val="10"/>
        <rFont val="Tahoma"/>
        <family val="2"/>
      </rPr>
      <t>No Benefits if &lt; .75 FTE</t>
    </r>
  </si>
  <si>
    <t>Instructions: Enter any part-time employees that will be working less than 30 hours per week. Employees in this category are not eligible for health care coverage under the affordable care act and will not participate in retirement. Fringe includes 7.65% social security and 1% for unemployment.</t>
  </si>
  <si>
    <t>HOURS WORKED</t>
  </si>
  <si>
    <t>HOURLY RATE</t>
  </si>
  <si>
    <t>TOTAL PART-TIME PERSONNEL</t>
  </si>
  <si>
    <r>
      <t xml:space="preserve">STUDENT PERSONNEL - </t>
    </r>
    <r>
      <rPr>
        <i/>
        <sz val="10"/>
        <rFont val="Tahoma"/>
        <family val="2"/>
      </rPr>
      <t>Hourly or Stipend (Educational or Assistantship)</t>
    </r>
  </si>
  <si>
    <t>Limit on Working Hours: If enrolled in classes, students can work 25 hrs/week for 30 weeks during the acadmic year and 25hrs/week for 9 weeks during the summer. Students can work up to 40 hrs/week for 9 weeks over the summer if not enrolled in summer classes. Only summer hours are subject to FICA taxes (1% unemployment, 7.65% social security) unless student is enrolled in at least 3 credit hours. If a student receives an Educational Stipend during the summer but is not enrolled in summer classes, they are subject to FICA taxes (1% unemployment, 7.65% social security).</t>
  </si>
  <si>
    <t>ACAD
HRS</t>
  </si>
  <si>
    <t>SUMR HRS</t>
  </si>
  <si>
    <t>Graduate Student</t>
  </si>
  <si>
    <t>Undergraduate Student</t>
  </si>
  <si>
    <t>ACADEMIC STIPEND</t>
  </si>
  <si>
    <t>SMR STIPEND</t>
  </si>
  <si>
    <t>SALARY</t>
  </si>
  <si>
    <t>Educational Stipend/Graduate School Assistantship</t>
  </si>
  <si>
    <t>TOTAL STUDENT PERSONNEL</t>
  </si>
  <si>
    <t>TOTAL PERSONNEL</t>
  </si>
  <si>
    <t>OTHER DIRECT COSTS</t>
  </si>
  <si>
    <t>STUDENT TUITION REMISSION</t>
  </si>
  <si>
    <t># Students</t>
  </si>
  <si>
    <t>1 Semester or 2</t>
  </si>
  <si>
    <t>Degree Program</t>
  </si>
  <si>
    <t>Cost-share</t>
  </si>
  <si>
    <t>689036</t>
  </si>
  <si>
    <t>In-State Tuition &amp; Fees</t>
  </si>
  <si>
    <t>Out-of-State Tuition &amp; Fees</t>
  </si>
  <si>
    <t>Additional Fees</t>
  </si>
  <si>
    <r>
      <t xml:space="preserve">EQUIPMENT - </t>
    </r>
    <r>
      <rPr>
        <i/>
        <sz val="10"/>
        <rFont val="Tahoma"/>
        <family val="2"/>
      </rPr>
      <t>A single unit that costs $5,000+ with a useful life of 2+ years</t>
    </r>
  </si>
  <si>
    <t>Description</t>
  </si>
  <si>
    <t>4000BP</t>
  </si>
  <si>
    <r>
      <t xml:space="preserve">TOTAL EQUIPMENT - </t>
    </r>
    <r>
      <rPr>
        <i/>
        <sz val="10"/>
        <rFont val="Tahoma"/>
        <family val="2"/>
      </rPr>
      <t>Excluded from the IDC rate calculation.</t>
    </r>
  </si>
  <si>
    <t>PARTICIPANT SUPPORT</t>
  </si>
  <si>
    <t>5000BP</t>
  </si>
  <si>
    <t>Stipends</t>
  </si>
  <si>
    <t>271410</t>
  </si>
  <si>
    <t>218105</t>
  </si>
  <si>
    <t>Subsistence</t>
  </si>
  <si>
    <t>Other</t>
  </si>
  <si>
    <r>
      <t xml:space="preserve">TOTAL PARTICIPANT SUPPORT - </t>
    </r>
    <r>
      <rPr>
        <i/>
        <sz val="10"/>
        <rFont val="Tahoma"/>
        <family val="2"/>
      </rPr>
      <t>Excluded from the IDC rate calculation.</t>
    </r>
  </si>
  <si>
    <t>SUBAWARDS AND CONSORTIUM AGREEMENTS</t>
  </si>
  <si>
    <t>Enter subawardee name below and add full amount of the subaward for this budget period in Column M</t>
  </si>
  <si>
    <t>219924 LE $25k | 219925 GT $25k</t>
  </si>
  <si>
    <t>Subaward/Consortium Agreement</t>
  </si>
  <si>
    <r>
      <t xml:space="preserve">TOTAL SUBAWARDS - </t>
    </r>
    <r>
      <rPr>
        <i/>
        <sz val="10"/>
        <rFont val="Tahoma"/>
        <family val="2"/>
      </rPr>
      <t>IDCs are only charged on the first $25,000 of each subaward. Any amount over the first $25k is excluded from the IDC rate caculation.</t>
    </r>
  </si>
  <si>
    <r>
      <t xml:space="preserve">TRAVEL - </t>
    </r>
    <r>
      <rPr>
        <i/>
        <sz val="10"/>
        <rFont val="Tahoma"/>
        <family val="2"/>
      </rPr>
      <t>WCU personnel and students only</t>
    </r>
  </si>
  <si>
    <t>Domestic</t>
  </si>
  <si>
    <t>271933</t>
  </si>
  <si>
    <t>Foreign</t>
  </si>
  <si>
    <t>TOTAL TRAVEL</t>
  </si>
  <si>
    <r>
      <t xml:space="preserve">OTHER DIRECT COSTS - </t>
    </r>
    <r>
      <rPr>
        <i/>
        <sz val="10"/>
        <rFont val="Tahoma"/>
        <family val="2"/>
      </rPr>
      <t>Modify categories as needed. See Constants tab for additional codes.</t>
    </r>
  </si>
  <si>
    <t>3000BP</t>
  </si>
  <si>
    <t>2100BP</t>
  </si>
  <si>
    <t>TOTAL OTHER DIRECT COSTS</t>
  </si>
  <si>
    <t>TOTAL DIRECT COSTS</t>
  </si>
  <si>
    <t>Less equipment, tuition, participant support, and the potion of subawards over the first $25k of each subaward</t>
  </si>
  <si>
    <r>
      <rPr>
        <b/>
        <i/>
        <sz val="11"/>
        <color rgb="FF000000"/>
        <rFont val="Tahoma"/>
        <family val="2"/>
      </rPr>
      <t xml:space="preserve">INDIRECT COSTS    </t>
    </r>
    <r>
      <rPr>
        <i/>
        <sz val="10"/>
        <color rgb="FF000000"/>
        <rFont val="Tahoma"/>
        <family val="2"/>
      </rPr>
      <t>564010</t>
    </r>
  </si>
  <si>
    <t>RATE:</t>
  </si>
  <si>
    <t>MTDC BASE:</t>
  </si>
  <si>
    <t>TOTAL REQUEST</t>
  </si>
  <si>
    <t>Budget Goal</t>
  </si>
  <si>
    <t>TOTAL PROJECT COST YEAR ONE</t>
  </si>
  <si>
    <t>Total Directs</t>
  </si>
  <si>
    <t>Period 2 Start:</t>
  </si>
  <si>
    <t>Period 2 End:</t>
  </si>
  <si>
    <r>
      <rPr>
        <i/>
        <sz val="10"/>
        <rFont val="Tahoma"/>
        <family val="2"/>
      </rPr>
      <t xml:space="preserve">Instructions: For full-time faculty and staff, 1. enter your current institutional base salary, and 4. enter the number of acadmic and summer months for which you are requesting salary. If the SUMR MONTHS column turns </t>
    </r>
    <r>
      <rPr>
        <i/>
        <sz val="10"/>
        <color rgb="FFFF0000"/>
        <rFont val="Tahoma"/>
        <family val="2"/>
      </rPr>
      <t>red</t>
    </r>
    <r>
      <rPr>
        <i/>
        <sz val="10"/>
        <rFont val="Tahoma"/>
        <family val="2"/>
      </rPr>
      <t>, you are over the allowable summer months you can request funding for and will need to reduce the number of summer months worked. Faculty and staff appointment term and retirement plan carries over from Budget Year 1.</t>
    </r>
  </si>
  <si>
    <t>Retirement Plan</t>
  </si>
  <si>
    <r>
      <t xml:space="preserve">TOTAL TUITION REMISSION - </t>
    </r>
    <r>
      <rPr>
        <i/>
        <sz val="10"/>
        <rFont val="Tahoma"/>
        <family val="2"/>
      </rPr>
      <t>Excluded from the IDC rate calculation.</t>
    </r>
  </si>
  <si>
    <r>
      <t xml:space="preserve">EQUIPMENT - </t>
    </r>
    <r>
      <rPr>
        <i/>
        <sz val="9"/>
        <rFont val="Tahoma"/>
        <family val="2"/>
      </rPr>
      <t>A single unit that costs $5,000+ with a useful life of 2+ years</t>
    </r>
  </si>
  <si>
    <t>TOTAL PROJECT COST YEAR TWO</t>
  </si>
  <si>
    <t>Period 3 Start:</t>
  </si>
  <si>
    <t>Period 3 End:</t>
  </si>
  <si>
    <t xml:space="preserve">$-   </t>
  </si>
  <si>
    <t xml:space="preserve"> $-   </t>
  </si>
  <si>
    <t>TOTAL PROJECT COST YEAR THREE</t>
  </si>
  <si>
    <t>Period 4 Start:</t>
  </si>
  <si>
    <t>Period 4 End:</t>
  </si>
  <si>
    <r>
      <t xml:space="preserve">Instructions: For full-time faculty and staff, 1. enter your current institutional base salary, and 4. enter the number of acadmic and summer months for which you are requesting salary. If the SUMR MONTHS column turns </t>
    </r>
    <r>
      <rPr>
        <i/>
        <sz val="10"/>
        <color rgb="FFFF0000"/>
        <rFont val="Tahoma"/>
        <family val="2"/>
      </rPr>
      <t>red</t>
    </r>
    <r>
      <rPr>
        <i/>
        <sz val="10"/>
        <rFont val="Tahoma"/>
        <family val="2"/>
      </rPr>
      <t>, you are over the allowable summer months you can request funding for and will need to reduce the number of summer months worked. Faculty and staff appointment term and retirement plan carries over from Budget Year 1.</t>
    </r>
  </si>
  <si>
    <t>TOTAL PROJECT COST YEAR FOUR</t>
  </si>
  <si>
    <t>Period 5 Start:</t>
  </si>
  <si>
    <t>Period 5 End:</t>
  </si>
  <si>
    <t>TOTAL PROJECT COST YEAR FIVE</t>
  </si>
  <si>
    <t>Project Start:</t>
  </si>
  <si>
    <t>Project End:</t>
  </si>
  <si>
    <t>CUMULATIVE</t>
  </si>
  <si>
    <t>This Template is password protected.  If changes are needed please call Ext. 2577</t>
  </si>
  <si>
    <t>Appointment</t>
  </si>
  <si>
    <t>Employee Class</t>
  </si>
  <si>
    <r>
      <t xml:space="preserve">WCU PART-TIME - </t>
    </r>
    <r>
      <rPr>
        <i/>
        <sz val="9"/>
        <rFont val="Tahoma"/>
        <family val="2"/>
      </rPr>
      <t xml:space="preserve">If FTE </t>
    </r>
    <r>
      <rPr>
        <i/>
        <u/>
        <sz val="9"/>
        <rFont val="Tahoma"/>
        <family val="2"/>
      </rPr>
      <t>&gt;</t>
    </r>
    <r>
      <rPr>
        <i/>
        <sz val="9"/>
        <rFont val="Tahoma"/>
        <family val="2"/>
      </rPr>
      <t xml:space="preserve"> .75 but &lt; 1.00</t>
    </r>
  </si>
  <si>
    <t>% FTE</t>
  </si>
  <si>
    <r>
      <t>WCU PART-TIME -</t>
    </r>
    <r>
      <rPr>
        <i/>
        <sz val="11"/>
        <rFont val="Tahoma"/>
        <family val="2"/>
      </rPr>
      <t xml:space="preserve"> </t>
    </r>
    <r>
      <rPr>
        <i/>
        <sz val="9"/>
        <rFont val="Tahoma"/>
        <family val="2"/>
      </rPr>
      <t>No Benefits if &lt; .75 FTE</t>
    </r>
  </si>
  <si>
    <t>STUDENT PERSONNEL</t>
  </si>
  <si>
    <t>ACAD HRS</t>
  </si>
  <si>
    <t>ACAD STIPEND</t>
  </si>
  <si>
    <r>
      <t>EQUIPMENT -</t>
    </r>
    <r>
      <rPr>
        <b/>
        <sz val="10"/>
        <rFont val="Tahoma"/>
        <family val="2"/>
      </rPr>
      <t xml:space="preserve"> </t>
    </r>
    <r>
      <rPr>
        <i/>
        <sz val="10"/>
        <rFont val="Tahoma"/>
        <family val="2"/>
      </rPr>
      <t>A single unit that costs $5,000+ with a useful life of 2+ years</t>
    </r>
  </si>
  <si>
    <r>
      <t xml:space="preserve">TOTAL SUBAWARDS - </t>
    </r>
    <r>
      <rPr>
        <i/>
        <sz val="10"/>
        <rFont val="Tahoma"/>
        <family val="2"/>
      </rPr>
      <t>IDCs are only charged on the first $25,000 of each subaward</t>
    </r>
  </si>
  <si>
    <t>TOTAL PROJECT COST</t>
  </si>
  <si>
    <t>BUDGET YEAR 1</t>
  </si>
  <si>
    <t>BUDGET YEAR 2</t>
  </si>
  <si>
    <t>BUDGET YEAR 3</t>
  </si>
  <si>
    <t>BUDGET YEAR 4</t>
  </si>
  <si>
    <t>BUDGET YEAR 5</t>
  </si>
  <si>
    <r>
      <t xml:space="preserve">WCU Part-Time (If FTE </t>
    </r>
    <r>
      <rPr>
        <b/>
        <u/>
        <sz val="11"/>
        <rFont val="Tahoma"/>
        <family val="2"/>
      </rPr>
      <t>&gt;</t>
    </r>
    <r>
      <rPr>
        <b/>
        <sz val="11"/>
        <rFont val="Tahoma"/>
        <family val="2"/>
      </rPr>
      <t xml:space="preserve"> .75 but &lt; 1.00)</t>
    </r>
  </si>
  <si>
    <t>Cost-Share Type</t>
  </si>
  <si>
    <t>WCU Part-Time (No Benefits if &lt; .75 FTE)</t>
  </si>
  <si>
    <t>HRLY RATE</t>
  </si>
  <si>
    <t>Undergrad</t>
  </si>
  <si>
    <t>SUMMER RATE</t>
  </si>
  <si>
    <t>Graduate Assistant - (Graduate School contract)</t>
  </si>
  <si>
    <t>Share Type</t>
  </si>
  <si>
    <t>In-State Tuition</t>
  </si>
  <si>
    <t>Out-of-State Tuition</t>
  </si>
  <si>
    <t>Fees</t>
  </si>
  <si>
    <t>TOTAL TUITION REMISSION</t>
  </si>
  <si>
    <t>EQUIPMENT COSTING $5,000.00 OR MORE</t>
  </si>
  <si>
    <t>TOTAL EQUIPMENT $5,000.00 OR MORE</t>
  </si>
  <si>
    <t>TOTAL PARTICIPANT SUPPORT</t>
  </si>
  <si>
    <t>Subaward/Consotrium Agreeement</t>
  </si>
  <si>
    <t>TOTAL SUBAWARDS</t>
  </si>
  <si>
    <t>TRAVEL (WCU personnel &amp; students only)</t>
  </si>
  <si>
    <t>Materials and Supplies</t>
  </si>
  <si>
    <t>Publication Costs</t>
  </si>
  <si>
    <t>Office Supplies</t>
  </si>
  <si>
    <t>Telephone Costs</t>
  </si>
  <si>
    <t>Contracted Services</t>
  </si>
  <si>
    <t>Honorariums</t>
  </si>
  <si>
    <t>Advertising</t>
  </si>
  <si>
    <t>Software Subscriptions</t>
  </si>
  <si>
    <t>Memberhsip Dues</t>
  </si>
  <si>
    <t>Postage</t>
  </si>
  <si>
    <t>Freight/Delivery Service</t>
  </si>
  <si>
    <t>Printing And Binding (Off-Campus Services)</t>
  </si>
  <si>
    <t>PawPrint Printing/Copying</t>
  </si>
  <si>
    <t>PC Sofware Purchase</t>
  </si>
  <si>
    <t>Contract Food Services</t>
  </si>
  <si>
    <t>Food Services for Conferences</t>
  </si>
  <si>
    <t>Purchase of Food Products</t>
  </si>
  <si>
    <t>Rent/Lease Bulding/Office Space</t>
  </si>
  <si>
    <t>Rent/Lease Other Facilities</t>
  </si>
  <si>
    <t>Room Rental Conference</t>
  </si>
  <si>
    <t>Rent/Lease Motor Vehicle</t>
  </si>
  <si>
    <t>Research Participant Payments</t>
  </si>
  <si>
    <t>Gift Cards--NON Employee Only</t>
  </si>
  <si>
    <t>LESS EQUIPMENT, TUITION, PARTICIPANT SUPPPORT, AND SUBAWARDS</t>
  </si>
  <si>
    <t>INDIRECT COSTS</t>
  </si>
  <si>
    <t>TOTAL COST SHARE REQUEST</t>
  </si>
  <si>
    <t>YEAR 1</t>
  </si>
  <si>
    <t>YEAR 2</t>
  </si>
  <si>
    <t>YEAR 3</t>
  </si>
  <si>
    <t>YEAR 4</t>
  </si>
  <si>
    <t>YEAR 5</t>
  </si>
  <si>
    <t>Per Diem Rates</t>
  </si>
  <si>
    <t>In State</t>
  </si>
  <si>
    <t>Out-of-State</t>
  </si>
  <si>
    <t>Mileage Reimbursement Rate</t>
  </si>
  <si>
    <t>MILEAGE CHART</t>
  </si>
  <si>
    <t>Breakfast</t>
  </si>
  <si>
    <t>per Mile</t>
  </si>
  <si>
    <t>A-H Airport</t>
  </si>
  <si>
    <t>Lunch</t>
  </si>
  <si>
    <t>Alblemarle</t>
  </si>
  <si>
    <t>Dinner</t>
  </si>
  <si>
    <t>Alexander</t>
  </si>
  <si>
    <t>Asheboro</t>
  </si>
  <si>
    <t>Asheville</t>
  </si>
  <si>
    <t>Atlanta, GA</t>
  </si>
  <si>
    <t>Balsam</t>
  </si>
  <si>
    <t>Travel Type</t>
  </si>
  <si>
    <t># Days of Trip</t>
  </si>
  <si>
    <t># of Personnel</t>
  </si>
  <si>
    <t># Days Per Diem</t>
  </si>
  <si>
    <t>Per Diem Totals</t>
  </si>
  <si>
    <t># of Lodging Nights Lodging</t>
  </si>
  <si>
    <t>Lodging Rate</t>
  </si>
  <si>
    <t>Total Lodging</t>
  </si>
  <si>
    <t>Trip Type</t>
  </si>
  <si>
    <t>Location</t>
  </si>
  <si>
    <t>Miles</t>
  </si>
  <si>
    <t>Mileage Reimbursement</t>
  </si>
  <si>
    <t>Car Rental</t>
  </si>
  <si>
    <t>Airfare</t>
  </si>
  <si>
    <t>Registration</t>
  </si>
  <si>
    <t>Misc (Parking, Bag fees, etc)</t>
  </si>
  <si>
    <t>Banner Elk</t>
  </si>
  <si>
    <t>In-State</t>
  </si>
  <si>
    <t>Bernardsville</t>
  </si>
  <si>
    <t>Bat Cave</t>
  </si>
  <si>
    <t>Black Mountain</t>
  </si>
  <si>
    <t>Blowing Rock</t>
  </si>
  <si>
    <t>Boone</t>
  </si>
  <si>
    <t>Budget Year 1 Total</t>
  </si>
  <si>
    <t>Brevard</t>
  </si>
  <si>
    <t>Bryson City</t>
  </si>
  <si>
    <t>Burlington</t>
  </si>
  <si>
    <t>Charlotte</t>
  </si>
  <si>
    <t>Budget Year 2 Total</t>
  </si>
  <si>
    <t>Clemson, SC</t>
  </si>
  <si>
    <t>Clyde</t>
  </si>
  <si>
    <t>Cherokee</t>
  </si>
  <si>
    <t>Fayetteville</t>
  </si>
  <si>
    <t>Budget Year 3 Total</t>
  </si>
  <si>
    <t>Fletcher</t>
  </si>
  <si>
    <t>Fontana</t>
  </si>
  <si>
    <t>Franklin</t>
  </si>
  <si>
    <t>Hayesville</t>
  </si>
  <si>
    <t>Budget Year 4 Total</t>
  </si>
  <si>
    <t>Henderson</t>
  </si>
  <si>
    <t>Hendersonville</t>
  </si>
  <si>
    <t>Hiawassee, GA</t>
  </si>
  <si>
    <t>Kannapolis</t>
  </si>
  <si>
    <t>Budget Year 5 Total</t>
  </si>
  <si>
    <t>Kinston</t>
  </si>
  <si>
    <t>Kitty Hawk</t>
  </si>
  <si>
    <t>Knoxville, TN</t>
  </si>
  <si>
    <t>Lake Junaluska</t>
  </si>
  <si>
    <r>
      <t xml:space="preserve">         1.</t>
    </r>
    <r>
      <rPr>
        <b/>
        <sz val="7"/>
        <rFont val="Times New Roman"/>
        <family val="1"/>
      </rPr>
      <t xml:space="preserve">         </t>
    </r>
    <r>
      <rPr>
        <b/>
        <sz val="11"/>
        <rFont val="Times New Roman"/>
        <family val="1"/>
      </rPr>
      <t>Meals during Overnight Travel</t>
    </r>
  </si>
  <si>
    <t>Laurinburg</t>
  </si>
  <si>
    <t>A state employee in overnight travel status may be reimbursed for meals for partial days of travel when the partial day is the day of departure or the day of return.  To be eligible the following criteria must be met:</t>
  </si>
  <si>
    <t>Little Switzerland</t>
  </si>
  <si>
    <t>Lenior</t>
  </si>
  <si>
    <r>
      <t>·</t>
    </r>
    <r>
      <rPr>
        <sz val="7"/>
        <rFont val="Times New Roman"/>
        <family val="1"/>
      </rPr>
      <t xml:space="preserve">         </t>
    </r>
    <r>
      <rPr>
        <sz val="11"/>
        <rFont val="Times New Roman"/>
        <family val="1"/>
      </rPr>
      <t>Breakfast -</t>
    </r>
  </si>
  <si>
    <r>
      <t xml:space="preserve">Depart duty station prior to 6:00 A.M. </t>
    </r>
    <r>
      <rPr>
        <i/>
        <u/>
        <sz val="11"/>
        <rFont val="Times New Roman"/>
        <family val="1"/>
      </rPr>
      <t>and</t>
    </r>
  </si>
  <si>
    <t>Lexington</t>
  </si>
  <si>
    <t>The normal workday is extended by two (2) or more hours.</t>
  </si>
  <si>
    <t>Lumberton</t>
  </si>
  <si>
    <t>Maggie Valley</t>
  </si>
  <si>
    <r>
      <t>·</t>
    </r>
    <r>
      <rPr>
        <sz val="7"/>
        <rFont val="Times New Roman"/>
        <family val="1"/>
      </rPr>
      <t xml:space="preserve">         </t>
    </r>
    <r>
      <rPr>
        <sz val="11"/>
        <rFont val="Times New Roman"/>
        <family val="1"/>
      </rPr>
      <t>Lunch -</t>
    </r>
  </si>
  <si>
    <r>
      <t xml:space="preserve">Depart duty station prior to Noon on day of departure </t>
    </r>
    <r>
      <rPr>
        <i/>
        <u/>
        <sz val="11"/>
        <rFont val="Times New Roman"/>
        <family val="1"/>
      </rPr>
      <t>or</t>
    </r>
  </si>
  <si>
    <t>Manteo</t>
  </si>
  <si>
    <t>Return to duty station after 2:00 P.M. on day of return.</t>
  </si>
  <si>
    <t>Marion</t>
  </si>
  <si>
    <t>Marshall</t>
  </si>
  <si>
    <r>
      <t>·</t>
    </r>
    <r>
      <rPr>
        <sz val="7"/>
        <rFont val="Times New Roman"/>
        <family val="1"/>
      </rPr>
      <t xml:space="preserve">         </t>
    </r>
    <r>
      <rPr>
        <sz val="11"/>
        <rFont val="Times New Roman"/>
        <family val="1"/>
      </rPr>
      <t xml:space="preserve">Dinner - </t>
    </r>
  </si>
  <si>
    <r>
      <t xml:space="preserve">Depart duty station prior to 5:00 P.M. on day of departure </t>
    </r>
    <r>
      <rPr>
        <i/>
        <u/>
        <sz val="11"/>
        <rFont val="Times New Roman"/>
        <family val="1"/>
      </rPr>
      <t>or</t>
    </r>
    <r>
      <rPr>
        <sz val="11"/>
        <rFont val="Times New Roman"/>
        <family val="1"/>
      </rPr>
      <t xml:space="preserve"> </t>
    </r>
  </si>
  <si>
    <t>Mars Hill</t>
  </si>
  <si>
    <r>
      <t xml:space="preserve">Return to duty station after 8:00 P.M on day of return </t>
    </r>
    <r>
      <rPr>
        <i/>
        <u/>
        <sz val="11"/>
        <rFont val="Times New Roman"/>
        <family val="1"/>
      </rPr>
      <t>and</t>
    </r>
  </si>
  <si>
    <t>Monroe</t>
  </si>
  <si>
    <t>The normal workday is extended by three (3) or more hours.</t>
  </si>
  <si>
    <t>Morehead City</t>
  </si>
  <si>
    <t>Morganton</t>
  </si>
  <si>
    <r>
      <t xml:space="preserve">           2.</t>
    </r>
    <r>
      <rPr>
        <b/>
        <sz val="7"/>
        <rFont val="Times New Roman"/>
        <family val="1"/>
      </rPr>
      <t xml:space="preserve">         </t>
    </r>
    <r>
      <rPr>
        <b/>
        <sz val="11"/>
        <rFont val="Times New Roman"/>
        <family val="1"/>
      </rPr>
      <t>Meals during Daily Travel</t>
    </r>
  </si>
  <si>
    <t>Mount Airy</t>
  </si>
  <si>
    <t>Allowances cannot be paid to an employee for lunches if travel does not involve an overnight stay.  To be eligible for breakfast and evening meal allowances when overnight travel is not involved, the following criteria must be met:</t>
  </si>
  <si>
    <t>Mount Mitchell</t>
  </si>
  <si>
    <t>Murphy</t>
  </si>
  <si>
    <t>New Bern</t>
  </si>
  <si>
    <t>The normal workday is extended by two (2) or more hours</t>
  </si>
  <si>
    <t>North Wilkesboro</t>
  </si>
  <si>
    <r>
      <t xml:space="preserve">Return to duty station after 8:00 P.M. </t>
    </r>
    <r>
      <rPr>
        <i/>
        <u/>
        <sz val="11"/>
        <rFont val="Times New Roman"/>
        <family val="1"/>
      </rPr>
      <t>and</t>
    </r>
  </si>
  <si>
    <t>Oteen</t>
  </si>
  <si>
    <t>The normal workday is extended by three (3) or more hours</t>
  </si>
  <si>
    <t>Raleigh</t>
  </si>
  <si>
    <t>The travel must involve a travel destination located at least 35 miles from the employee’s regularly assigned duty station (vicinity) or home, whichever is less.</t>
  </si>
  <si>
    <t>Reidsville</t>
  </si>
  <si>
    <t>Research Triangle</t>
  </si>
  <si>
    <r>
      <t>3.</t>
    </r>
    <r>
      <rPr>
        <b/>
        <sz val="7"/>
        <rFont val="Times New Roman"/>
        <family val="1"/>
      </rPr>
      <t xml:space="preserve">         </t>
    </r>
    <r>
      <rPr>
        <b/>
        <sz val="11"/>
        <rFont val="Times New Roman"/>
        <family val="1"/>
      </rPr>
      <t>Meals and Day-to-Day Activities</t>
    </r>
  </si>
  <si>
    <t>Richmond, VA</t>
  </si>
  <si>
    <t>University employees may not be reimbursed for meals eaten in conjunction with a congress, conference, assembly, convocation or meeting, by whatever name called, of the employees within the University, or between employees of the University and other state departments, institutions, or agencies to discuss issues relating to the employee’s normal day-to-day business activities.</t>
  </si>
  <si>
    <t>Roanoke Rapids</t>
  </si>
  <si>
    <t>Robbinsville</t>
  </si>
  <si>
    <t>Rocky Mount</t>
  </si>
  <si>
    <t>Rutherfordton</t>
  </si>
  <si>
    <r>
      <t>4.</t>
    </r>
    <r>
      <rPr>
        <b/>
        <sz val="7"/>
        <rFont val="Times New Roman"/>
        <family val="1"/>
      </rPr>
      <t xml:space="preserve">         </t>
    </r>
    <r>
      <rPr>
        <b/>
        <sz val="11"/>
        <rFont val="Times New Roman"/>
        <family val="1"/>
      </rPr>
      <t>Meals for Required Employee Attendance</t>
    </r>
  </si>
  <si>
    <t>Salisbury</t>
  </si>
  <si>
    <t>A University employee may be reimbursed for meals, including lunches, when the employee’s job requires his attendance at the meeting of a board, commission, committee, or council in his/her official capacity and the meal is preplanned as part of the meeting for the entire board, commission, committee or council.  Such board, commission, committee, or council must include persons other than University employees.</t>
  </si>
  <si>
    <t>Sanford</t>
  </si>
  <si>
    <t>Shelby</t>
  </si>
  <si>
    <t>Skyland</t>
  </si>
  <si>
    <t>Southern Pines</t>
  </si>
  <si>
    <r>
      <t>5.</t>
    </r>
    <r>
      <rPr>
        <b/>
        <sz val="7"/>
        <rFont val="Times New Roman"/>
        <family val="1"/>
      </rPr>
      <t xml:space="preserve">         </t>
    </r>
    <r>
      <rPr>
        <b/>
        <sz val="11"/>
        <rFont val="Times New Roman"/>
        <family val="1"/>
      </rPr>
      <t>Meals and Commercial Air Travel</t>
    </r>
  </si>
  <si>
    <t>Southport</t>
  </si>
  <si>
    <t>Employees are allowed to claim reimbursement for meals even though they are shown and offered as a part of one’s flight schedule on a commercial airline.</t>
  </si>
  <si>
    <t>Spruce Pines</t>
  </si>
  <si>
    <t>Statesville</t>
  </si>
  <si>
    <t>Swannanoa</t>
  </si>
  <si>
    <r>
      <t>6.</t>
    </r>
    <r>
      <rPr>
        <b/>
        <sz val="7"/>
        <rFont val="Times New Roman"/>
        <family val="1"/>
      </rPr>
      <t xml:space="preserve">         </t>
    </r>
    <r>
      <rPr>
        <b/>
        <sz val="11"/>
        <rFont val="Times New Roman"/>
        <family val="1"/>
      </rPr>
      <t>Excess Meals</t>
    </r>
  </si>
  <si>
    <t>Sylva</t>
  </si>
  <si>
    <t>No excess reimbursement will be allowed for meals unless such costs are included in registration fees and/or there are predetermined charges or the meals were for out-of-country travel.</t>
  </si>
  <si>
    <t>Thomasville</t>
  </si>
  <si>
    <t>Tryon</t>
  </si>
  <si>
    <t>Wake Forest</t>
  </si>
  <si>
    <t>7.       Excess Lodging</t>
  </si>
  <si>
    <t>Walnut Creek</t>
  </si>
  <si>
    <t>Excess lodging authorization for in-state, out-of-state, and out-of-country travel must be obtained in advance from the department head or his or her designee. Excess lodging is allowed when the employee is in a high cost area and unable to secure lodging within the current allowance, or when the employee submits in writing an opinion that his/her personal safety or security is unattainable within the current allowance. Excess lodging authorization is not allowed for reason of convenience or personal preference for the employee. The employee may exceed the part of the ceiling allocated for lodging without approval from department head or his or her designee provided that the total lodging and food reimbursement does not exceed the maximum daily subsistence.</t>
  </si>
  <si>
    <t>Waynesville</t>
  </si>
  <si>
    <t>Weaverville</t>
  </si>
  <si>
    <t>Wilmington</t>
  </si>
  <si>
    <t xml:space="preserve">Wilson </t>
  </si>
  <si>
    <t>Winston Salem</t>
  </si>
  <si>
    <t>Valdese</t>
  </si>
  <si>
    <t>Enter justification here…</t>
  </si>
  <si>
    <t>Account and Description</t>
  </si>
  <si>
    <t>2024-2025</t>
  </si>
  <si>
    <t>Fringe Benefits</t>
  </si>
  <si>
    <t>ACCOUNT_CODE</t>
  </si>
  <si>
    <t>BUDGET_POOL_ACCT</t>
  </si>
  <si>
    <t>BUDGET_POOL_DESC</t>
  </si>
  <si>
    <t>ACCOUNT_DESC</t>
  </si>
  <si>
    <t>*Additional 0.9* tax on Medicare wages of $200,000 or more for wages below $200,000 the rate is 1.45% for Medicare only with a total rate of 7.65%</t>
  </si>
  <si>
    <t>EHRA Salaries and Wages</t>
  </si>
  <si>
    <t>EHRA Regular Salaries</t>
  </si>
  <si>
    <t>Social Security</t>
  </si>
  <si>
    <t>7.65% on first $132,900, then 1.45% on wages in excess of $132,900</t>
  </si>
  <si>
    <t>2018 $128,400</t>
  </si>
  <si>
    <t>2017  $127,200</t>
  </si>
  <si>
    <t>2016 $118,500</t>
  </si>
  <si>
    <t>Full-Time Faculty &amp; Staff w/ TSERS Retirement</t>
  </si>
  <si>
    <t>EHRA Academic Salaries</t>
  </si>
  <si>
    <t>State Retirement (TSERS)</t>
  </si>
  <si>
    <t>FY26</t>
  </si>
  <si>
    <t>FY25</t>
  </si>
  <si>
    <t>FY24</t>
  </si>
  <si>
    <t>FY23</t>
  </si>
  <si>
    <t>FY22</t>
  </si>
  <si>
    <t>FY21</t>
  </si>
  <si>
    <t>FY20</t>
  </si>
  <si>
    <t>FY19</t>
  </si>
  <si>
    <t>Unemployment/Worker's Comp</t>
  </si>
  <si>
    <t>EHRA Time Limited Salary and Wages</t>
  </si>
  <si>
    <t>Budget</t>
  </si>
  <si>
    <t>EHRA Overtime Payments</t>
  </si>
  <si>
    <t>Pension</t>
  </si>
  <si>
    <t>SHRA Salaries and Wages</t>
  </si>
  <si>
    <t>SHRA Regular Salaries</t>
  </si>
  <si>
    <t>Health Insurance</t>
  </si>
  <si>
    <t>SHRA Overtime Payments</t>
  </si>
  <si>
    <t>Disability</t>
  </si>
  <si>
    <t>Medical Insurance Full-time - Prorate to % Academic Year Effort</t>
  </si>
  <si>
    <t>Overtime Pay--Straight Time</t>
  </si>
  <si>
    <t>Death Benefit</t>
  </si>
  <si>
    <t>Holiday Premium Pay</t>
  </si>
  <si>
    <t xml:space="preserve">Qualified Excess Benefit Arrangement                       </t>
  </si>
  <si>
    <t>0.01**</t>
  </si>
  <si>
    <t>Full-Time Faculty &amp; Staff w/ ORP Retirement</t>
  </si>
  <si>
    <t>SHRA Longevity Payments</t>
  </si>
  <si>
    <t>Non-Student Regular Wages</t>
  </si>
  <si>
    <t>Non-Student Overtime Payments</t>
  </si>
  <si>
    <t>State Retirement</t>
  </si>
  <si>
    <t>Student Regular Wages</t>
  </si>
  <si>
    <t>Medical Insurance</t>
  </si>
  <si>
    <t>Student Overtime Payments</t>
  </si>
  <si>
    <t xml:space="preserve">Annual Rate </t>
  </si>
  <si>
    <t>Monthly Rate</t>
  </si>
  <si>
    <t>Part-Time, Temp, Student Workers</t>
  </si>
  <si>
    <t>TIAA Optional Retirement</t>
  </si>
  <si>
    <t>Optional Retirement (ORP)</t>
  </si>
  <si>
    <t>Disability Insurance</t>
  </si>
  <si>
    <t>Unemployment Compensation</t>
  </si>
  <si>
    <t>HDHP Medical Insurance for Temp (FTE &gt; .75) - Paid monthly</t>
  </si>
  <si>
    <t>Flex Spending Acct Savings</t>
  </si>
  <si>
    <t>Annually</t>
  </si>
  <si>
    <t>Unemployment Insurance Reserve</t>
  </si>
  <si>
    <t>combined with health</t>
  </si>
  <si>
    <t>Staff Benefits</t>
  </si>
  <si>
    <t>Full-Time Law Enforcement</t>
  </si>
  <si>
    <t>Contracted Services Pool</t>
  </si>
  <si>
    <t xml:space="preserve">Litigation Expense  </t>
  </si>
  <si>
    <t xml:space="preserve">Legal Services      </t>
  </si>
  <si>
    <t>Law Enforcement Retirement</t>
  </si>
  <si>
    <t>Law Enforcement Officers Only
The rate for State Law Enforcement Officers includes 5% toward Supplemental Retirement Income and .01% for Qualified Excess Benefit Arrangement</t>
  </si>
  <si>
    <t xml:space="preserve">Audit Fees          </t>
  </si>
  <si>
    <t>Finance Consultant F</t>
  </si>
  <si>
    <t>Investmt Advisiory S</t>
  </si>
  <si>
    <t>Financial Serv Other</t>
  </si>
  <si>
    <t>IDC Rates</t>
  </si>
  <si>
    <t>Med Svc Hosp Provide</t>
  </si>
  <si>
    <t>Rate Description</t>
  </si>
  <si>
    <t>Rate Policy</t>
  </si>
  <si>
    <t>Direct Treat Personn</t>
  </si>
  <si>
    <t>On-Campus Rate must be used unless there is a published sponsor policy.</t>
  </si>
  <si>
    <t>Med Svc Dec Non Hosp</t>
  </si>
  <si>
    <t>Research (Off-Campus)</t>
  </si>
  <si>
    <t>Use of an Off-Campus Rate requires approval of the Office of Research Administration.</t>
  </si>
  <si>
    <t>Medical Ser No Hospi</t>
  </si>
  <si>
    <t>No F&amp;A - 0%</t>
  </si>
  <si>
    <t>A 0% F&amp;A rate requires a published sponsor policy.</t>
  </si>
  <si>
    <t>Emp Employmt Physica</t>
  </si>
  <si>
    <t>Training Rate</t>
  </si>
  <si>
    <t>Confirm this rate with a published policy.</t>
  </si>
  <si>
    <t>Oth Info Tech Servic</t>
  </si>
  <si>
    <t>Custom Rate</t>
  </si>
  <si>
    <t>A custom F&amp;A rate requires a published sponsor policy.</t>
  </si>
  <si>
    <t>Wan Support Services</t>
  </si>
  <si>
    <t>Rate Base Option
Modifed Total Direct Cost (MTDC)</t>
  </si>
  <si>
    <t>Modified total direct costs shall exclude equipment, capital expenditures, charges for patient care, rental costs, tuition remission, scholarships and fellowships, participant support costs and the portion of each subaward in excess of $25,000.</t>
  </si>
  <si>
    <t>Video Trans Supp Ser</t>
  </si>
  <si>
    <t>Lan Support Services</t>
  </si>
  <si>
    <t>Cognizant Federal Agency</t>
  </si>
  <si>
    <t>Department of Health and Human Services</t>
  </si>
  <si>
    <t>Pc And Print Sup Ser</t>
  </si>
  <si>
    <t>Wheatford Ashby | (214) 767-3261</t>
  </si>
  <si>
    <t>Server Supp Services</t>
  </si>
  <si>
    <t xml:space="preserve">Mainframe Supp Serv </t>
  </si>
  <si>
    <t>Application Development</t>
  </si>
  <si>
    <t>IT Project Mgt Analysis Svcs</t>
  </si>
  <si>
    <t xml:space="preserve">Acad Inst/Res Serv  </t>
  </si>
  <si>
    <t>Substitute Teachers</t>
  </si>
  <si>
    <t>Administrative Servi</t>
  </si>
  <si>
    <t>W/Comp Admin Service</t>
  </si>
  <si>
    <t>Work Comp Tfr To Osc</t>
  </si>
  <si>
    <t>Contract Pmt-Declining Balances</t>
  </si>
  <si>
    <t>Contract Pmt-Board Plan</t>
  </si>
  <si>
    <t>Laundry Services Agr</t>
  </si>
  <si>
    <t>Laboratory Service A</t>
  </si>
  <si>
    <t>Janitorial Service A</t>
  </si>
  <si>
    <t>Waste Remo/Recycle A</t>
  </si>
  <si>
    <t>Security Services Ag</t>
  </si>
  <si>
    <t>Pest Ctrl Service Ag</t>
  </si>
  <si>
    <t>Lawns And Grounds Ag</t>
  </si>
  <si>
    <t>Employee On Loan Pay</t>
  </si>
  <si>
    <t xml:space="preserve">Honorariums         </t>
  </si>
  <si>
    <t>Honorariums-Dec/Educ</t>
  </si>
  <si>
    <t>Honorariums-DeHonorariums-Dec/West</t>
  </si>
  <si>
    <t>Honorariums-Dec/Nort</t>
  </si>
  <si>
    <t>Transportation Servi</t>
  </si>
  <si>
    <t>Contracted Towing Se</t>
  </si>
  <si>
    <t xml:space="preserve">Contracted Services </t>
  </si>
  <si>
    <t xml:space="preserve">Specialized Therapy </t>
  </si>
  <si>
    <t>Cbrs Comm Base Rehab</t>
  </si>
  <si>
    <t>Case Consultation/Ed</t>
  </si>
  <si>
    <t xml:space="preserve">Respite Care        </t>
  </si>
  <si>
    <t xml:space="preserve">Transportation      </t>
  </si>
  <si>
    <t>Other Contracted Ser</t>
  </si>
  <si>
    <t xml:space="preserve">Contract Clinic Ser </t>
  </si>
  <si>
    <t>Research Participant Payments/Incentives</t>
  </si>
  <si>
    <t>Interpreter Services</t>
  </si>
  <si>
    <t xml:space="preserve">Current Services    </t>
  </si>
  <si>
    <t>Misc Contractual Ser</t>
  </si>
  <si>
    <t xml:space="preserve">Commission Expense  </t>
  </si>
  <si>
    <t xml:space="preserve">Bankruptcy Expense  </t>
  </si>
  <si>
    <t>Other Cost Or Losses</t>
  </si>
  <si>
    <t xml:space="preserve">Grant Advance       </t>
  </si>
  <si>
    <t xml:space="preserve">Auction Services    </t>
  </si>
  <si>
    <t>Mis Contract Ser Con</t>
  </si>
  <si>
    <t xml:space="preserve">E-Payment Discounts </t>
  </si>
  <si>
    <t xml:space="preserve">Fund Raising Costs  </t>
  </si>
  <si>
    <t>NCCAT Presenter Contract</t>
  </si>
  <si>
    <t>NCCAT Grant Closeout Acct</t>
  </si>
  <si>
    <t>2300BP</t>
  </si>
  <si>
    <t>Purchased Services Pool</t>
  </si>
  <si>
    <t>Repairs-Buildings</t>
  </si>
  <si>
    <t>Repairs-Other Struct</t>
  </si>
  <si>
    <t>Repairs-Motor Vehicl</t>
  </si>
  <si>
    <t>Vehicle/Car Wash</t>
  </si>
  <si>
    <t>Repairs-Oth Comp Equ</t>
  </si>
  <si>
    <t>Repairs-Other Equipm</t>
  </si>
  <si>
    <t>Repairs Wan Equip</t>
  </si>
  <si>
    <t>Repairs Video Tran E</t>
  </si>
  <si>
    <t>Repairs Lan Equip</t>
  </si>
  <si>
    <t>Repairs Pc'S/Printer</t>
  </si>
  <si>
    <t>Repairs - Servers</t>
  </si>
  <si>
    <t>Repairs-Other</t>
  </si>
  <si>
    <t>Maint Contract-Build</t>
  </si>
  <si>
    <t>Mt Contract-Other St</t>
  </si>
  <si>
    <t>Maint Contract-Equip</t>
  </si>
  <si>
    <t>Maint Agree Oth Soft</t>
  </si>
  <si>
    <t>Maint Agree Wan Soft</t>
  </si>
  <si>
    <t>Main Agree Oth Dp Eq</t>
  </si>
  <si>
    <t>Main Agree Wan Equip</t>
  </si>
  <si>
    <t>Main Agree Video Eqi</t>
  </si>
  <si>
    <t>Main Agree Lan Equip</t>
  </si>
  <si>
    <t>Main Agree Pc/Printe</t>
  </si>
  <si>
    <t>Main Agree Pc Softwa</t>
  </si>
  <si>
    <t>Main Agree Server Sw</t>
  </si>
  <si>
    <t>Main Agree Servers</t>
  </si>
  <si>
    <t>Main Agree Mainframe</t>
  </si>
  <si>
    <t>Main Agree Mf Softwa</t>
  </si>
  <si>
    <t>Maint Contract-Other</t>
  </si>
  <si>
    <t>Rent/Lease Land</t>
  </si>
  <si>
    <t>Rent/Lease Building/Office Space</t>
  </si>
  <si>
    <t>Room Rental for Conferences</t>
  </si>
  <si>
    <t>Rent/Lease Voice Equipment</t>
  </si>
  <si>
    <t>Rent/Lease General Office Space</t>
  </si>
  <si>
    <t>Rent/Lease Furniture</t>
  </si>
  <si>
    <t>Rnt/Lease Oth Comp E</t>
  </si>
  <si>
    <t>Rent/Lease Wan Equip</t>
  </si>
  <si>
    <t>Rent/Lease Video Tra</t>
  </si>
  <si>
    <t>Rent/Lease Lan Eq</t>
  </si>
  <si>
    <t>Rent/Lease Pc/Printe</t>
  </si>
  <si>
    <t>Rent/Lease Servers</t>
  </si>
  <si>
    <t>Rent/Lease Mainframe</t>
  </si>
  <si>
    <t>Rent/Lease Pc Softwa</t>
  </si>
  <si>
    <t>Rent/Lease Server Sw</t>
  </si>
  <si>
    <t>Rent/Lease Mf Softwa</t>
  </si>
  <si>
    <t>Rent/Lease Oth Prope</t>
  </si>
  <si>
    <t>Communication</t>
  </si>
  <si>
    <t>Telephone Services</t>
  </si>
  <si>
    <t>Telecomm Data Charge</t>
  </si>
  <si>
    <t>Teleconference Charg</t>
  </si>
  <si>
    <t>Cellular Phone Charg</t>
  </si>
  <si>
    <t>Email/Calendaring Ch</t>
  </si>
  <si>
    <t>Video Transmission C</t>
  </si>
  <si>
    <t>Internet Ser Provide</t>
  </si>
  <si>
    <t>Data Wiring Ser Chrg</t>
  </si>
  <si>
    <t>Telephone Wir Ser Ch</t>
  </si>
  <si>
    <t>Computer/Dp Services</t>
  </si>
  <si>
    <t>Data Processing</t>
  </si>
  <si>
    <t>Managed Lan Ser Chg</t>
  </si>
  <si>
    <t>Authentication &amp; Authorization Serv</t>
  </si>
  <si>
    <t>Managed Server Service</t>
  </si>
  <si>
    <t>Managed WAN Service</t>
  </si>
  <si>
    <t>Electronic Services</t>
  </si>
  <si>
    <t>Managed Desktop Service</t>
  </si>
  <si>
    <t>Postage Surcharge</t>
  </si>
  <si>
    <t>Mailing Services</t>
  </si>
  <si>
    <t>Freight/Delivery Services</t>
  </si>
  <si>
    <t>Printing And Binding</t>
  </si>
  <si>
    <t>Cable Tv</t>
  </si>
  <si>
    <t>Insurance Property</t>
  </si>
  <si>
    <t>Insurance Mtr Vehicl</t>
  </si>
  <si>
    <t>Insurance Liability</t>
  </si>
  <si>
    <t>Insurance &amp; Bonding</t>
  </si>
  <si>
    <t>Insurance Bonding</t>
  </si>
  <si>
    <t>Reg Fees College Fai</t>
  </si>
  <si>
    <t>Registration Fees</t>
  </si>
  <si>
    <t>Registrations-Student Contribution</t>
  </si>
  <si>
    <t>Ed Assist Pgm Taxabl</t>
  </si>
  <si>
    <t>Ed Assist Pgm Non Ta</t>
  </si>
  <si>
    <t>Employee Moving Exp</t>
  </si>
  <si>
    <t>Purchased Cont. Services Pool</t>
  </si>
  <si>
    <t>Trainerships</t>
  </si>
  <si>
    <t>Subawards</t>
  </si>
  <si>
    <t>Sub Awards LE $25000</t>
  </si>
  <si>
    <t>Sub Awards GT $25000</t>
  </si>
  <si>
    <t>In-State Trans-Air</t>
  </si>
  <si>
    <t>Out Of State Tran-Ai</t>
  </si>
  <si>
    <t>Out-Cntry Trans-Air</t>
  </si>
  <si>
    <t>In-State Trans-Groun</t>
  </si>
  <si>
    <t>Out Of State Trans-G</t>
  </si>
  <si>
    <t>Out-Cntry Tran-Groun</t>
  </si>
  <si>
    <t>Travel Advance</t>
  </si>
  <si>
    <t>In-State Trans-Other</t>
  </si>
  <si>
    <t>Travel Adv - Team</t>
  </si>
  <si>
    <t>Travel Adv - Recruit</t>
  </si>
  <si>
    <t>Travel Adv - Admin</t>
  </si>
  <si>
    <t>Out Of State Tran-Ot</t>
  </si>
  <si>
    <t>Out-Cntry Trans-Othe</t>
  </si>
  <si>
    <t>Athletic-Team</t>
  </si>
  <si>
    <t>Athletic-Recruiting</t>
  </si>
  <si>
    <t>Athletic-Admin</t>
  </si>
  <si>
    <t>In-State Lodging</t>
  </si>
  <si>
    <t>Out Of State Lodging</t>
  </si>
  <si>
    <t>Out-Cntry Lodging</t>
  </si>
  <si>
    <t>In-State Meals</t>
  </si>
  <si>
    <t>Out Of State Meals</t>
  </si>
  <si>
    <t>Out-Cntry Meals</t>
  </si>
  <si>
    <t>In-State Oth Trav Ex</t>
  </si>
  <si>
    <t>Out State Other Trav</t>
  </si>
  <si>
    <t>Out-Cntry Other Trav</t>
  </si>
  <si>
    <t>Non-Employee Transpo</t>
  </si>
  <si>
    <t>Non-Employ Lodging</t>
  </si>
  <si>
    <t>Non-Employ Meals</t>
  </si>
  <si>
    <t>Non-Employ Other</t>
  </si>
  <si>
    <t>Supplies</t>
  </si>
  <si>
    <t xml:space="preserve">Office Supplies     </t>
  </si>
  <si>
    <t>Data Processing Supp</t>
  </si>
  <si>
    <t>Photographic Supplie</t>
  </si>
  <si>
    <t>Eng/Drafting Supplie</t>
  </si>
  <si>
    <t>Security/Safety Supp</t>
  </si>
  <si>
    <t>Other Admin Supplies</t>
  </si>
  <si>
    <t xml:space="preserve">Miller Analogies    </t>
  </si>
  <si>
    <t xml:space="preserve">Institutional Sat   </t>
  </si>
  <si>
    <t xml:space="preserve">Household Supplies  </t>
  </si>
  <si>
    <t xml:space="preserve">Janitorial Supplies </t>
  </si>
  <si>
    <t>Beding/Textile Produ</t>
  </si>
  <si>
    <t xml:space="preserve">Laundry Supplies    </t>
  </si>
  <si>
    <t>Carpentry &amp; Hardware</t>
  </si>
  <si>
    <t xml:space="preserve">Repair Supplies     </t>
  </si>
  <si>
    <t>Agric/Animal Supplie</t>
  </si>
  <si>
    <t>Sand,Gravel,Concrets</t>
  </si>
  <si>
    <t>Asphalt &amp; Tar Suppli</t>
  </si>
  <si>
    <t>Structural Steel Sup</t>
  </si>
  <si>
    <t>Road Signs &amp; Signals</t>
  </si>
  <si>
    <t>Oth Facilty &amp; Hardwa</t>
  </si>
  <si>
    <t>Plants &amp; Planting Ma</t>
  </si>
  <si>
    <t xml:space="preserve">Gasoline            </t>
  </si>
  <si>
    <t xml:space="preserve">Diesel Fuel         </t>
  </si>
  <si>
    <t>Bio-Diesel Fuel</t>
  </si>
  <si>
    <t>Oil/Lubricants/Fluid</t>
  </si>
  <si>
    <t xml:space="preserve">Tires/Tubes         </t>
  </si>
  <si>
    <t>Motor Vehicle Supply</t>
  </si>
  <si>
    <t xml:space="preserve">Motor Veh Rep Parts </t>
  </si>
  <si>
    <t xml:space="preserve">Other Fuels         </t>
  </si>
  <si>
    <t xml:space="preserve">Purchase of Food Products       </t>
  </si>
  <si>
    <t xml:space="preserve">Training Table Exp  </t>
  </si>
  <si>
    <t xml:space="preserve">Dietary Supplies    </t>
  </si>
  <si>
    <t xml:space="preserve">Clothing &amp; Uniforms </t>
  </si>
  <si>
    <t>Recreational Supplie</t>
  </si>
  <si>
    <t>Rehabilitation Suppl</t>
  </si>
  <si>
    <t xml:space="preserve">Medicines           </t>
  </si>
  <si>
    <t xml:space="preserve">Dental Supplies     </t>
  </si>
  <si>
    <t xml:space="preserve">Optical Supplies    </t>
  </si>
  <si>
    <t xml:space="preserve">Orthopedic Supplies </t>
  </si>
  <si>
    <t xml:space="preserve">Medical Supplies    </t>
  </si>
  <si>
    <t xml:space="preserve">Laboratory Supplies </t>
  </si>
  <si>
    <t>Emergency Medical Supplies</t>
  </si>
  <si>
    <t xml:space="preserve">Scientific Supplies </t>
  </si>
  <si>
    <t>Educational Supplies</t>
  </si>
  <si>
    <t xml:space="preserve">Purchase For Resale </t>
  </si>
  <si>
    <t>Bk St Adoption Excep</t>
  </si>
  <si>
    <t>Coal Ash Surcharge</t>
  </si>
  <si>
    <t>Supplies &amp; Materials</t>
  </si>
  <si>
    <t>Faculty Social Event</t>
  </si>
  <si>
    <t>Property, Plant and Equipment</t>
  </si>
  <si>
    <t>Property, Plant and Equipment Pool</t>
  </si>
  <si>
    <t>Land Acquisition Cost</t>
  </si>
  <si>
    <t>Land/Legal&amp;Record Fees</t>
  </si>
  <si>
    <t>Land Appraisal/Surveys</t>
  </si>
  <si>
    <t>Building Acquisition</t>
  </si>
  <si>
    <t>Legal And Record Fee</t>
  </si>
  <si>
    <t xml:space="preserve">Appraisal Fees      </t>
  </si>
  <si>
    <t xml:space="preserve">Planning Expenses   </t>
  </si>
  <si>
    <t xml:space="preserve">Design Contr A      </t>
  </si>
  <si>
    <t>Design Contr B</t>
  </si>
  <si>
    <t>Design Contr C</t>
  </si>
  <si>
    <t>Design Contr D</t>
  </si>
  <si>
    <t>Design Contr E</t>
  </si>
  <si>
    <t>Design Contr F</t>
  </si>
  <si>
    <t>Consultant Contracts</t>
  </si>
  <si>
    <t>Buildings</t>
  </si>
  <si>
    <t>General Contractor A</t>
  </si>
  <si>
    <t>General Contractor B</t>
  </si>
  <si>
    <t>General Contractor C</t>
  </si>
  <si>
    <t>General Contractor D</t>
  </si>
  <si>
    <t>Electric Contr A</t>
  </si>
  <si>
    <t>Electric Contr B</t>
  </si>
  <si>
    <t>Electric Contr C</t>
  </si>
  <si>
    <t>Electric Contr D</t>
  </si>
  <si>
    <t xml:space="preserve">Plumbing Contr A    </t>
  </si>
  <si>
    <t>Plumbing Contr B</t>
  </si>
  <si>
    <t>Plumbing Contr C</t>
  </si>
  <si>
    <t>Plumbing Contr D</t>
  </si>
  <si>
    <t>Masonary</t>
  </si>
  <si>
    <t>Roofing</t>
  </si>
  <si>
    <t xml:space="preserve">Erosion Control Con </t>
  </si>
  <si>
    <t>Mechanical Contracts</t>
  </si>
  <si>
    <t>Landscaping Contract</t>
  </si>
  <si>
    <t>Grading,Filling/Clea</t>
  </si>
  <si>
    <t>Asbestos Removal Con</t>
  </si>
  <si>
    <t>HVAC Contr A</t>
  </si>
  <si>
    <t>HVAC Contr B</t>
  </si>
  <si>
    <t>HVAC Contr C</t>
  </si>
  <si>
    <t>HVAC Contr D</t>
  </si>
  <si>
    <t>HVAC Contr E</t>
  </si>
  <si>
    <t xml:space="preserve">Refrigeration Cont  </t>
  </si>
  <si>
    <t xml:space="preserve">Elevator Contracts  </t>
  </si>
  <si>
    <t xml:space="preserve">Sprinkler Contracts </t>
  </si>
  <si>
    <t xml:space="preserve">Communication Cable </t>
  </si>
  <si>
    <t xml:space="preserve">Testing &amp; Boring    </t>
  </si>
  <si>
    <t>Legal Fees/Advertisi</t>
  </si>
  <si>
    <t>Construction Site Su</t>
  </si>
  <si>
    <t>Project Inspection F</t>
  </si>
  <si>
    <t>General Laborers/Inm</t>
  </si>
  <si>
    <t>Contingency</t>
  </si>
  <si>
    <t xml:space="preserve">Corrective Repairs  </t>
  </si>
  <si>
    <t>Miscellaneous Projec</t>
  </si>
  <si>
    <t>Other Capital Outlay</t>
  </si>
  <si>
    <t>Office Furniture LT 5000</t>
  </si>
  <si>
    <t>Office Furniture GE 5000</t>
  </si>
  <si>
    <t>Residential Furnitur LT 5000</t>
  </si>
  <si>
    <t>Residential Furnitur GE 5000</t>
  </si>
  <si>
    <t>Classroom/Libr Furni LT5000</t>
  </si>
  <si>
    <t>Classroom/Libr Furni GE 5000</t>
  </si>
  <si>
    <t>Office Equipment Capital LT5000</t>
  </si>
  <si>
    <t>Office Equipment Capital GE 5000</t>
  </si>
  <si>
    <t>Movable Equip LT 5000</t>
  </si>
  <si>
    <t>Movable Equip GE 5000</t>
  </si>
  <si>
    <t>Scientific/Medical E LT 5000</t>
  </si>
  <si>
    <t>Scientific/Medical E GE 5000</t>
  </si>
  <si>
    <t>Engineering/Draft Eq LT 5000</t>
  </si>
  <si>
    <t>Engineering/Draft Eq GE 5000</t>
  </si>
  <si>
    <t>Dietary Equipment LT 5000</t>
  </si>
  <si>
    <t>Dietary Equipment GE 5000</t>
  </si>
  <si>
    <t>Athletic Equip LT 5000</t>
  </si>
  <si>
    <t>Athletic Equip GE 5000</t>
  </si>
  <si>
    <t>Agricultural Equip LT 5000</t>
  </si>
  <si>
    <t>Agricultural Equip GE 5000</t>
  </si>
  <si>
    <t>Voice Com'Cation Equ LT 5000</t>
  </si>
  <si>
    <t>Voice Com'Cation Equ GE 5000</t>
  </si>
  <si>
    <t>Custody/Security Equ LT 5000</t>
  </si>
  <si>
    <t>Custody/Security Equ GE 5000</t>
  </si>
  <si>
    <t>Other Dp Equip LT 5000</t>
  </si>
  <si>
    <t>Other Dp Equip GE 5000</t>
  </si>
  <si>
    <t>Wan Equipment LT 5000</t>
  </si>
  <si>
    <t>Wan Equipment GE 5000</t>
  </si>
  <si>
    <t>Video Transmit Equip LT 5000</t>
  </si>
  <si>
    <t>Video Transmit Equip GE 5000</t>
  </si>
  <si>
    <t>Lan Equip Purchase LT 5000</t>
  </si>
  <si>
    <t>Lan Equip Purchase GE 5000</t>
  </si>
  <si>
    <r>
      <rPr>
        <sz val="11"/>
        <color rgb="FF000000"/>
        <rFont val="Calibri"/>
        <family val="2"/>
        <scheme val="minor"/>
      </rPr>
      <t xml:space="preserve">Computer &amp; Printer Purchase Less Than $5,000 - </t>
    </r>
    <r>
      <rPr>
        <i/>
        <sz val="9"/>
        <color rgb="FF000000"/>
        <rFont val="Calibri"/>
        <family val="2"/>
        <scheme val="minor"/>
      </rPr>
      <t>Add $130/Year/Device for IT Services</t>
    </r>
  </si>
  <si>
    <r>
      <rPr>
        <sz val="11"/>
        <color rgb="FF000000"/>
        <rFont val="Calibri"/>
        <family val="2"/>
        <scheme val="minor"/>
      </rPr>
      <t xml:space="preserve">PC &amp; Printer Purchas GE 5000 - </t>
    </r>
    <r>
      <rPr>
        <i/>
        <sz val="9"/>
        <color rgb="FF000000"/>
        <rFont val="Calibri"/>
        <family val="2"/>
        <scheme val="minor"/>
      </rPr>
      <t>Add $130/Year/Device for IT Services</t>
    </r>
  </si>
  <si>
    <t>Server Purchase LT 5000</t>
  </si>
  <si>
    <t>Server Purchase GE 5000</t>
  </si>
  <si>
    <t>Mainframe Purchase LT 5000</t>
  </si>
  <si>
    <t>Mainframe Purchase GE 5000</t>
  </si>
  <si>
    <t>IT Security Equipment</t>
  </si>
  <si>
    <t>Educational Equipmnt LT 5000</t>
  </si>
  <si>
    <t>Educational Equipmnt GE 5000</t>
  </si>
  <si>
    <t>Other Equipment LT 5000</t>
  </si>
  <si>
    <t>Other EquipmentGE 5000</t>
  </si>
  <si>
    <t>CapitaI Projects Equipment</t>
  </si>
  <si>
    <t xml:space="preserve">Autos,Trucks,Buses </t>
  </si>
  <si>
    <t xml:space="preserve">Aircraft </t>
  </si>
  <si>
    <t xml:space="preserve">Boats </t>
  </si>
  <si>
    <t xml:space="preserve">Trailers </t>
  </si>
  <si>
    <t>Motor Vehicles</t>
  </si>
  <si>
    <t xml:space="preserve">Other Motorized Vehicles </t>
  </si>
  <si>
    <t>Other Structure/Improvmnt GE 5000</t>
  </si>
  <si>
    <t>Oth Computer Softwar</t>
  </si>
  <si>
    <t>Wan Computer Softwar</t>
  </si>
  <si>
    <t>PC Software Purchase</t>
  </si>
  <si>
    <t xml:space="preserve">Server Software Pur </t>
  </si>
  <si>
    <t>IT Security Software</t>
  </si>
  <si>
    <t xml:space="preserve">Mainframe Software  </t>
  </si>
  <si>
    <t>External Dev Softwar</t>
  </si>
  <si>
    <t>Fixed Assets Migration Account</t>
  </si>
  <si>
    <t>Other Educ Awards</t>
  </si>
  <si>
    <t>Educational Awards</t>
  </si>
  <si>
    <t>Other Expenses &amp; Adj Budget Pool</t>
  </si>
  <si>
    <t>Employee Cash Award</t>
  </si>
  <si>
    <t xml:space="preserve">Legal Settlements   </t>
  </si>
  <si>
    <t xml:space="preserve">Tort Claims         </t>
  </si>
  <si>
    <t xml:space="preserve">Court Costs         </t>
  </si>
  <si>
    <t xml:space="preserve">Expert Witness Fees </t>
  </si>
  <si>
    <t>Rewards,Captures/Ext</t>
  </si>
  <si>
    <t>License &amp; Permit Cos</t>
  </si>
  <si>
    <t>Leo Separation Allow</t>
  </si>
  <si>
    <t>Debt Serv ice</t>
  </si>
  <si>
    <t>Bond Principal</t>
  </si>
  <si>
    <t>Note Principal</t>
  </si>
  <si>
    <t>Capital Lease Principal</t>
  </si>
  <si>
    <t>Other Principal</t>
  </si>
  <si>
    <t>Other Debt Service Principal</t>
  </si>
  <si>
    <t>Bond Interest</t>
  </si>
  <si>
    <t>Note Interest</t>
  </si>
  <si>
    <t>Capital Lease Interest</t>
  </si>
  <si>
    <t>Int On Util Cust Dep</t>
  </si>
  <si>
    <t>Other Interest</t>
  </si>
  <si>
    <t>Amortization-Discount/prem/refund</t>
  </si>
  <si>
    <t>Indebtedness Fees-Fiscal Agent</t>
  </si>
  <si>
    <t>Bond Insurance</t>
  </si>
  <si>
    <t>Indebtedness Fees-Bond Issue</t>
  </si>
  <si>
    <t>Arbitrage Expense</t>
  </si>
  <si>
    <t>Accrued Expense Adjustment</t>
  </si>
  <si>
    <t>Capital Asset Writedowns</t>
  </si>
  <si>
    <t>Disposal Of Plant Facilility</t>
  </si>
  <si>
    <t>Loss Sale Fixed Asset</t>
  </si>
  <si>
    <t>Svc Chg/Sale Surplus Property</t>
  </si>
  <si>
    <t>Subscriptions and Publication Costs</t>
  </si>
  <si>
    <t>Membership Dues</t>
  </si>
  <si>
    <t xml:space="preserve">Game Guarantees     </t>
  </si>
  <si>
    <t>Legislative Teach Aw</t>
  </si>
  <si>
    <t>Serv Awards Non Cash</t>
  </si>
  <si>
    <t>Cash Prize/Award Non-Employee</t>
  </si>
  <si>
    <t>Business Entertainment</t>
  </si>
  <si>
    <t>Entertainment</t>
  </si>
  <si>
    <t>Controlled Beverages</t>
  </si>
  <si>
    <t>Student Health Insurance</t>
  </si>
  <si>
    <t xml:space="preserve">Fixed Charges       </t>
  </si>
  <si>
    <t xml:space="preserve">Other Fixed Charges </t>
  </si>
  <si>
    <t xml:space="preserve">Admin Expense       </t>
  </si>
  <si>
    <t>Other Fund Deduction</t>
  </si>
  <si>
    <t>Other Non-Operating Expense</t>
  </si>
  <si>
    <t>Refund To Grantor</t>
  </si>
  <si>
    <t>Close out to St Treasurer</t>
  </si>
  <si>
    <t>Componet Unit CI Reversion</t>
  </si>
  <si>
    <t>CI Reversion to Reserve 40703</t>
  </si>
  <si>
    <t>Comp Unit CI Tfr 2Statewide Reserve</t>
  </si>
  <si>
    <t>Collection Costs</t>
  </si>
  <si>
    <t>Bank Card Service Charges</t>
  </si>
  <si>
    <t>Non Taxable Emp Cell Phone Reimb</t>
  </si>
  <si>
    <t>2200BP</t>
  </si>
  <si>
    <t>Utilities Pool</t>
  </si>
  <si>
    <t xml:space="preserve">Utilities           </t>
  </si>
  <si>
    <t xml:space="preserve">Electricity         </t>
  </si>
  <si>
    <t xml:space="preserve">Natural Gas/Propane </t>
  </si>
  <si>
    <t xml:space="preserve">Water &amp; Sewer       </t>
  </si>
  <si>
    <t xml:space="preserve">Fuel Oil            </t>
  </si>
  <si>
    <t xml:space="preserve">Coal Fuel           </t>
  </si>
  <si>
    <t xml:space="preserve">Wood Fuel           </t>
  </si>
  <si>
    <t>Energy Svcs Chem Add</t>
  </si>
  <si>
    <t xml:space="preserve">Energy Svcs-Steam   </t>
  </si>
  <si>
    <t>4600BP</t>
  </si>
  <si>
    <t>Library Books Budget Pool</t>
  </si>
  <si>
    <t xml:space="preserve">Art &amp; Artifacts </t>
  </si>
  <si>
    <t>Library Books &amp;Jrnls LT 5000</t>
  </si>
  <si>
    <t>Library Books &amp;Jrnls GT 5000</t>
  </si>
  <si>
    <t>Overhead Trans Gen</t>
  </si>
  <si>
    <t>Other Intra-Transfer</t>
  </si>
  <si>
    <t>Indirect Overhead Costs</t>
  </si>
  <si>
    <t>Maximum Compensation Calculator</t>
  </si>
  <si>
    <t>Cost Share Calculations</t>
  </si>
  <si>
    <t>Full-Time Faculty and Staff Academic Year Effort</t>
  </si>
  <si>
    <t>Full-Time Faculty and Staff Summer Effort</t>
  </si>
  <si>
    <t>Part-Time/Temp Employee Calculators</t>
  </si>
  <si>
    <t>General Calculators</t>
  </si>
  <si>
    <t>Emp Type</t>
  </si>
  <si>
    <t>Annual 
Salary</t>
  </si>
  <si>
    <t>Monthly 
Compensation</t>
  </si>
  <si>
    <t>Annual 
Maximum Comp</t>
  </si>
  <si>
    <t>Summer 
Max Comp</t>
  </si>
  <si>
    <t xml:space="preserve">Calculate Cost Share from Sponsor Request	</t>
  </si>
  <si>
    <t>Calculate % AY Effort from Known Salary Request</t>
  </si>
  <si>
    <t>Calculate # Summer Months from Known Salary Subtotal (Salary Request + Fringe)</t>
  </si>
  <si>
    <t>9 month</t>
  </si>
  <si>
    <t>Calculate Salary Request and Fringe from Known Subtotal</t>
  </si>
  <si>
    <t>Calculate Total Direct Costs from Known Budget Total</t>
  </si>
  <si>
    <t>10 month</t>
  </si>
  <si>
    <t>Sponsor Request</t>
  </si>
  <si>
    <t>Base Salary</t>
  </si>
  <si>
    <t>Budget Limit</t>
  </si>
  <si>
    <t>11 month</t>
  </si>
  <si>
    <t>Cost Share Requirement</t>
  </si>
  <si>
    <t>End Salary Subtotal</t>
  </si>
  <si>
    <t>12 month</t>
  </si>
  <si>
    <t>Salary Request</t>
  </si>
  <si>
    <t>Salary Subtotal</t>
  </si>
  <si>
    <t>Fringe</t>
  </si>
  <si>
    <t>Total Project Cost</t>
  </si>
  <si>
    <t>Summer Months</t>
  </si>
  <si>
    <t>Subaward &gt; 25,000</t>
  </si>
  <si>
    <t>Maximum Compensation Calculator:</t>
  </si>
  <si>
    <t>IDC Rate</t>
  </si>
  <si>
    <t>To calculate Maximum Summer Compensation, enter the annual salary (located in NBAJOBS screen of Banner) in column C of the row that matches the faculty teaching contract for the relevant year. This will calculate a per-month payrate, the annual maximum compensation available, and the summer earning potential (including all summer instructional compensation, grant compensation, etc).</t>
  </si>
  <si>
    <t>% Effort</t>
  </si>
  <si>
    <t># Summer Months</t>
  </si>
  <si>
    <t>Total Direct Costs</t>
  </si>
  <si>
    <t>Calculate % AY Effort from Known Salary Subtotal (Salary Request + Fringe)</t>
  </si>
  <si>
    <t>Calculate # Summer Months from Known Salary Request</t>
  </si>
  <si>
    <t>Grants &amp; Other Summer Compensation:</t>
  </si>
  <si>
    <t>End Salary Subtotal (Salary Request + Fringe)</t>
  </si>
  <si>
    <t>Summer Grant compensation as well as additional pay for roles such as Program Director can also impact maximum compensation and should be disclosed during the Summer PAF/Contract approval process. Questions about eligibility for earning, or what compensation counts towards the maximum earning potential should be directed to the Summer Programs Coordinator or the Office of Research Administration</t>
  </si>
  <si>
    <t>AY Salary Request from % Effort and Known Salary Subtotal (Salary Request + Fringe)</t>
  </si>
  <si>
    <t>Salary Subtotal (Salary Request + Fringe)</t>
  </si>
  <si>
    <t>Fringe Rate</t>
  </si>
  <si>
    <t>Convert Percent Effort to Calendar Months</t>
  </si>
  <si>
    <t>Convert Percent Effort to Academic Months</t>
  </si>
  <si>
    <t>Convert Percent Effort to Summer Months</t>
  </si>
  <si>
    <t>Convert Weeks to Summer Months</t>
  </si>
  <si>
    <t>Convert Hours to Months</t>
  </si>
  <si>
    <t>Convert Percent Effort</t>
  </si>
  <si>
    <t>Convert Calendar Months</t>
  </si>
  <si>
    <t>Convert Academic Months</t>
  </si>
  <si>
    <t>Convert Summer Months</t>
  </si>
  <si>
    <t>Convert Weeks</t>
  </si>
  <si>
    <t>Convert Hours</t>
  </si>
  <si>
    <t>to Calendar Months</t>
  </si>
  <si>
    <t>to Percent Effort</t>
  </si>
  <si>
    <t>to Academic Months</t>
  </si>
  <si>
    <t>to Summer Months</t>
  </si>
  <si>
    <t>to  Months</t>
  </si>
  <si>
    <t>(12-month appointment)</t>
  </si>
  <si>
    <t>(9-month appointment)</t>
  </si>
  <si>
    <t>(3-month appointment)</t>
  </si>
  <si>
    <t>Calendar Months</t>
  </si>
  <si>
    <t>Academic Months</t>
  </si>
  <si>
    <t>Weeks</t>
  </si>
  <si>
    <t>Enter # Hours in Red Box</t>
  </si>
  <si>
    <t>Convert Person Months to Hours</t>
  </si>
  <si>
    <t>Enter # of Months in Pink Box</t>
  </si>
  <si>
    <t>Convert Person Months</t>
  </si>
  <si>
    <t>to  Hours/Month</t>
  </si>
  <si>
    <t>Enter # PM in Red Box</t>
  </si>
  <si>
    <t>Enter # of Months in Purple Box</t>
  </si>
  <si>
    <t>Enter # of Months in Blue Box</t>
  </si>
  <si>
    <t>Enter # Weeks in Orange Box</t>
  </si>
  <si>
    <t>Enter % Effort in Green Box</t>
  </si>
  <si>
    <t>Enter % Effort in Orange Box</t>
  </si>
  <si>
    <t>Enter % Effort in Yellow Box</t>
  </si>
  <si>
    <t>Degree</t>
  </si>
  <si>
    <t>Semesters</t>
  </si>
  <si>
    <t>Undergraduate Student - Engineering</t>
  </si>
  <si>
    <t>Undergraduate Student - Fine Arts Major</t>
  </si>
  <si>
    <t>Undergraduate Student - Teaching</t>
  </si>
  <si>
    <t>Undergraduate Student - Athletic Training</t>
  </si>
  <si>
    <t>Undergraduate Student - Dietetics</t>
  </si>
  <si>
    <t>Undergraduate Student - Recreational Therapy</t>
  </si>
  <si>
    <t>Undergraduate Student - Emergency Medical Care</t>
  </si>
  <si>
    <t>Undergraduate Student - Environmental Health</t>
  </si>
  <si>
    <t>Undergraduate Student - Social Work</t>
  </si>
  <si>
    <t>Graduate Student </t>
  </si>
  <si>
    <t>Nursing Practice | DNP &amp; DNP-FNP</t>
  </si>
  <si>
    <t>Nurse Anesthesia | DNP CRNA</t>
  </si>
  <si>
    <t>Physical Therapy | DPT</t>
  </si>
  <si>
    <t>Communication Sciences &amp; Disorders | MS</t>
  </si>
  <si>
    <t>Business Graduate Student</t>
  </si>
  <si>
    <t>Social Work | MSW</t>
  </si>
  <si>
    <t>Athletic Training | MSAT</t>
  </si>
  <si>
    <t>Nursing Practice | DNP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</si>
</sst>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0.0"/>
    <numFmt numFmtId="167" formatCode="_(* #,##0_);_(* \(#,##0\);_(* &quot;-&quot;??_);_(@_)"/>
    <numFmt numFmtId="168" formatCode="&quot;$&quot;#,##0.00"/>
    <numFmt numFmtId="169" formatCode="0.0000"/>
    <numFmt numFmtId="170" formatCode="###0.00;###0.00"/>
    <numFmt numFmtId="171" formatCode="###0.0;###0.0"/>
    <numFmt numFmtId="172" formatCode="0.000%"/>
    <numFmt numFmtId="173" formatCode="0.000000"/>
    <numFmt numFmtId="174" formatCode="0.00000%"/>
    <numFmt numFmtId="175" formatCode="0.0%"/>
    <numFmt numFmtId="176" formatCode="0.000"/>
    <numFmt numFmtId="177" formatCode="&quot;$&quot;#,##0.000_);[Red]\(&quot;$&quot;#,##0.000\)"/>
  </numFmts>
  <fonts count="7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Arial"/>
      <family val="2"/>
    </font>
    <font>
      <b/>
      <sz val="9"/>
      <name val="Arial"/>
      <family val="2"/>
    </font>
    <font>
      <b/>
      <sz val="9"/>
      <color theme="1"/>
      <name val="Arial"/>
      <family val="2"/>
    </font>
    <font>
      <b/>
      <sz val="7.5"/>
      <color theme="1"/>
      <name val="Arial"/>
      <family val="2"/>
    </font>
    <font>
      <sz val="9"/>
      <name val="Arial"/>
      <family val="2"/>
    </font>
    <font>
      <b/>
      <sz val="10"/>
      <color theme="1"/>
      <name val="Calibri"/>
      <family val="2"/>
      <scheme val="minor"/>
    </font>
    <font>
      <sz val="9"/>
      <color theme="1"/>
      <name val="Arial"/>
      <family val="2"/>
    </font>
    <font>
      <sz val="9"/>
      <color rgb="FF000000"/>
      <name val="Arial"/>
      <family val="2"/>
    </font>
    <font>
      <b/>
      <sz val="11"/>
      <name val="Times New Roman"/>
      <family val="1"/>
    </font>
    <font>
      <b/>
      <sz val="7"/>
      <name val="Times New Roman"/>
      <family val="1"/>
    </font>
    <font>
      <sz val="11"/>
      <name val="Times New Roman"/>
      <family val="1"/>
    </font>
    <font>
      <sz val="10"/>
      <name val="Times New Roman"/>
      <family val="1"/>
    </font>
    <font>
      <b/>
      <sz val="12"/>
      <name val="Times New Roman"/>
      <family val="1"/>
    </font>
    <font>
      <sz val="11"/>
      <name val="Symbol"/>
      <family val="1"/>
      <charset val="2"/>
    </font>
    <font>
      <sz val="7"/>
      <name val="Times New Roman"/>
      <family val="1"/>
    </font>
    <font>
      <i/>
      <u/>
      <sz val="11"/>
      <name val="Times New Roman"/>
      <family val="1"/>
    </font>
    <font>
      <b/>
      <i/>
      <sz val="11"/>
      <name val="Times New Roman"/>
      <family val="1"/>
    </font>
    <font>
      <b/>
      <sz val="11"/>
      <name val="Calibri"/>
      <family val="2"/>
      <scheme val="minor"/>
    </font>
    <font>
      <b/>
      <sz val="10"/>
      <color rgb="FF000000"/>
      <name val="Arial"/>
      <family val="2"/>
    </font>
    <font>
      <b/>
      <sz val="9"/>
      <color rgb="FF000000"/>
      <name val="Arial"/>
      <family val="2"/>
    </font>
    <font>
      <sz val="10"/>
      <color theme="1"/>
      <name val="Calibri"/>
      <family val="2"/>
      <scheme val="minor"/>
    </font>
    <font>
      <sz val="11"/>
      <color theme="1"/>
      <name val="Tahoma"/>
      <family val="2"/>
    </font>
    <font>
      <i/>
      <sz val="11"/>
      <name val="Tahoma"/>
      <family val="2"/>
    </font>
    <font>
      <b/>
      <sz val="11"/>
      <name val="Tahoma"/>
      <family val="2"/>
    </font>
    <font>
      <b/>
      <sz val="11"/>
      <color indexed="8"/>
      <name val="Tahoma"/>
      <family val="2"/>
    </font>
    <font>
      <b/>
      <u/>
      <sz val="11"/>
      <name val="Tahoma"/>
      <family val="2"/>
    </font>
    <font>
      <sz val="11"/>
      <name val="Tahoma"/>
      <family val="2"/>
    </font>
    <font>
      <i/>
      <sz val="11"/>
      <color indexed="8"/>
      <name val="Tahoma"/>
      <family val="2"/>
    </font>
    <font>
      <b/>
      <i/>
      <sz val="11"/>
      <name val="Tahoma"/>
      <family val="2"/>
    </font>
    <font>
      <sz val="11"/>
      <color indexed="8"/>
      <name val="Tahoma"/>
      <family val="2"/>
    </font>
    <font>
      <b/>
      <i/>
      <sz val="11"/>
      <color theme="1"/>
      <name val="Tahoma"/>
      <family val="2"/>
    </font>
    <font>
      <i/>
      <sz val="11"/>
      <color theme="1"/>
      <name val="Tahoma"/>
      <family val="2"/>
    </font>
    <font>
      <b/>
      <sz val="10"/>
      <color rgb="FFFF0000"/>
      <name val="Arial"/>
      <family val="2"/>
    </font>
    <font>
      <b/>
      <sz val="10"/>
      <name val="Arial"/>
      <family val="2"/>
    </font>
    <font>
      <sz val="11"/>
      <color theme="1"/>
      <name val="Tahoma"/>
      <family val="2"/>
    </font>
    <font>
      <i/>
      <sz val="12"/>
      <color theme="1"/>
      <name val="Calibri"/>
      <family val="2"/>
      <scheme val="minor"/>
    </font>
    <font>
      <b/>
      <i/>
      <sz val="11"/>
      <color theme="1"/>
      <name val="Calibri"/>
      <family val="2"/>
      <scheme val="minor"/>
    </font>
    <font>
      <b/>
      <i/>
      <sz val="12"/>
      <name val="Times New Roman"/>
      <family val="1"/>
    </font>
    <font>
      <i/>
      <sz val="11"/>
      <color theme="1"/>
      <name val="Calibri"/>
      <family val="2"/>
      <scheme val="minor"/>
    </font>
    <font>
      <b/>
      <u/>
      <sz val="14"/>
      <color theme="1"/>
      <name val="Calibri"/>
      <family val="2"/>
      <scheme val="minor"/>
    </font>
    <font>
      <b/>
      <sz val="11"/>
      <color theme="1"/>
      <name val="Tahoma"/>
      <family val="2"/>
    </font>
    <font>
      <sz val="11"/>
      <name val="Calibri"/>
      <family val="2"/>
    </font>
    <font>
      <b/>
      <sz val="16"/>
      <color theme="1"/>
      <name val="Calibri"/>
      <family val="2"/>
      <scheme val="minor"/>
    </font>
    <font>
      <b/>
      <sz val="12"/>
      <color theme="1"/>
      <name val="Calibri"/>
      <family val="2"/>
      <scheme val="minor"/>
    </font>
    <font>
      <sz val="11"/>
      <color theme="0"/>
      <name val="Calibri"/>
      <family val="2"/>
      <scheme val="minor"/>
    </font>
    <font>
      <sz val="11"/>
      <color rgb="FFC00000"/>
      <name val="Calibri"/>
      <family val="2"/>
      <scheme val="minor"/>
    </font>
    <font>
      <b/>
      <u/>
      <sz val="11"/>
      <name val="Calibri"/>
      <family val="2"/>
    </font>
    <font>
      <sz val="11"/>
      <color rgb="FF000000"/>
      <name val="Calibri"/>
      <family val="2"/>
    </font>
    <font>
      <i/>
      <u/>
      <sz val="12"/>
      <color theme="1"/>
      <name val="Calibri"/>
      <family val="2"/>
      <scheme val="minor"/>
    </font>
    <font>
      <b/>
      <sz val="12"/>
      <name val="Tahoma"/>
      <family val="2"/>
    </font>
    <font>
      <sz val="11"/>
      <color rgb="FF000000"/>
      <name val="Calibri"/>
      <family val="2"/>
      <scheme val="minor"/>
    </font>
    <font>
      <i/>
      <sz val="11"/>
      <color theme="6" tint="-0.499984740745262"/>
      <name val="Tahoma"/>
      <family val="2"/>
    </font>
    <font>
      <b/>
      <sz val="11"/>
      <name val="Calibri"/>
      <family val="2"/>
    </font>
    <font>
      <i/>
      <sz val="10"/>
      <name val="Tahoma"/>
      <family val="2"/>
    </font>
    <font>
      <i/>
      <sz val="10"/>
      <color rgb="FFFF0000"/>
      <name val="Tahoma"/>
      <family val="2"/>
    </font>
    <font>
      <i/>
      <sz val="9"/>
      <name val="Tahoma"/>
      <family val="2"/>
    </font>
    <font>
      <b/>
      <sz val="10"/>
      <name val="Tahoma"/>
      <family val="2"/>
    </font>
    <font>
      <i/>
      <u/>
      <sz val="9"/>
      <name val="Tahoma"/>
      <family val="2"/>
    </font>
    <font>
      <b/>
      <u/>
      <sz val="16"/>
      <name val="Calibri"/>
      <family val="2"/>
    </font>
    <font>
      <sz val="10"/>
      <color rgb="FF000000"/>
      <name val="Arial"/>
      <family val="2"/>
    </font>
    <font>
      <sz val="8"/>
      <color theme="1"/>
      <name val="Arial"/>
      <family val="2"/>
    </font>
    <font>
      <sz val="9"/>
      <color theme="1"/>
      <name val="Calibri"/>
      <family val="2"/>
      <scheme val="minor"/>
    </font>
    <font>
      <i/>
      <sz val="10"/>
      <color indexed="8"/>
      <name val="Tahoma"/>
      <family val="2"/>
    </font>
    <font>
      <b/>
      <sz val="11"/>
      <color rgb="FF000000"/>
      <name val="Calibri"/>
      <family val="2"/>
      <scheme val="minor"/>
    </font>
    <font>
      <sz val="11"/>
      <color rgb="FFFFFFFF"/>
      <name val="Calibri"/>
      <family val="2"/>
      <scheme val="minor"/>
    </font>
    <font>
      <sz val="11"/>
      <name val="Calibri"/>
      <family val="2"/>
      <scheme val="minor"/>
    </font>
    <font>
      <sz val="9"/>
      <name val="Tahoma"/>
      <family val="2"/>
    </font>
    <font>
      <b/>
      <i/>
      <sz val="11"/>
      <color rgb="FF000000"/>
      <name val="Tahoma"/>
      <family val="2"/>
    </font>
    <font>
      <i/>
      <sz val="10"/>
      <color rgb="FF000000"/>
      <name val="Tahoma"/>
      <family val="2"/>
    </font>
    <font>
      <u/>
      <sz val="11"/>
      <color theme="1"/>
      <name val="Calibri"/>
      <family val="2"/>
      <scheme val="minor"/>
    </font>
    <font>
      <i/>
      <sz val="9"/>
      <color rgb="FF000000"/>
      <name val="Calibri"/>
      <family val="2"/>
      <scheme val="minor"/>
    </font>
    <font>
      <b/>
      <u/>
      <sz val="11"/>
      <color theme="1"/>
      <name val="Calibri"/>
      <family val="2"/>
      <scheme val="minor"/>
    </font>
  </fonts>
  <fills count="45">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theme="1" tint="0.499984740745262"/>
        <bgColor indexed="64"/>
      </patternFill>
    </fill>
    <fill>
      <patternFill patternType="solid">
        <fgColor theme="0"/>
        <bgColor indexed="64"/>
      </patternFill>
    </fill>
    <fill>
      <patternFill patternType="solid">
        <fgColor theme="5" tint="0.59999389629810485"/>
        <bgColor indexed="64"/>
      </patternFill>
    </fill>
    <fill>
      <patternFill patternType="solid">
        <fgColor rgb="FFFFFFFF"/>
        <bgColor indexed="64"/>
      </patternFill>
    </fill>
    <fill>
      <patternFill patternType="solid">
        <fgColor rgb="FFC0C0C0"/>
        <bgColor rgb="FF000000"/>
      </patternFill>
    </fill>
    <fill>
      <patternFill patternType="solid">
        <fgColor rgb="FFFFFFCC"/>
        <bgColor rgb="FF000000"/>
      </patternFill>
    </fill>
    <fill>
      <patternFill patternType="solid">
        <fgColor rgb="FFCCFFFF"/>
        <bgColor rgb="FF000000"/>
      </patternFill>
    </fill>
    <fill>
      <patternFill patternType="solid">
        <fgColor rgb="FFCCFFCC"/>
        <bgColor rgb="FF000000"/>
      </patternFill>
    </fill>
    <fill>
      <patternFill patternType="solid">
        <fgColor rgb="FFCCCCFF"/>
        <bgColor rgb="FF000000"/>
      </patternFill>
    </fill>
    <fill>
      <patternFill patternType="solid">
        <fgColor rgb="FFFFCC99"/>
        <bgColor rgb="FF000000"/>
      </patternFill>
    </fill>
    <fill>
      <patternFill patternType="solid">
        <fgColor rgb="FFFF99CC"/>
        <bgColor rgb="FF000000"/>
      </patternFill>
    </fill>
    <fill>
      <patternFill patternType="solid">
        <fgColor theme="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EBF0DE"/>
        <bgColor indexed="64"/>
      </patternFill>
    </fill>
    <fill>
      <patternFill patternType="solid">
        <fgColor rgb="FFFFF9E6"/>
        <bgColor indexed="64"/>
      </patternFill>
    </fill>
    <fill>
      <patternFill patternType="solid">
        <fgColor rgb="FFFFEEB7"/>
        <bgColor indexed="64"/>
      </patternFill>
    </fill>
    <fill>
      <patternFill patternType="solid">
        <fgColor rgb="FFD2C9D9"/>
        <bgColor indexed="64"/>
      </patternFill>
    </fill>
    <fill>
      <patternFill patternType="solid">
        <fgColor rgb="FFFFEEB7"/>
        <bgColor rgb="FF000000"/>
      </patternFill>
    </fill>
    <fill>
      <patternFill patternType="solid">
        <fgColor rgb="FFFFF9E6"/>
        <bgColor rgb="FF000000"/>
      </patternFill>
    </fill>
    <fill>
      <patternFill patternType="solid">
        <fgColor rgb="FFA795B5"/>
        <bgColor indexed="64"/>
      </patternFill>
    </fill>
    <fill>
      <patternFill patternType="solid">
        <fgColor rgb="FFFAB6B6"/>
        <bgColor indexed="64"/>
      </patternFill>
    </fill>
    <fill>
      <patternFill patternType="solid">
        <fgColor rgb="FFDDD9C4"/>
        <bgColor rgb="FF000000"/>
      </patternFill>
    </fill>
    <fill>
      <patternFill patternType="solid">
        <fgColor rgb="FFC4BD97"/>
        <bgColor rgb="FF000000"/>
      </patternFill>
    </fill>
    <fill>
      <patternFill patternType="solid">
        <fgColor rgb="FF948A54"/>
        <bgColor rgb="FF000000"/>
      </patternFill>
    </fill>
    <fill>
      <patternFill patternType="solid">
        <fgColor rgb="FF494529"/>
        <bgColor rgb="FF000000"/>
      </patternFill>
    </fill>
    <fill>
      <patternFill patternType="solid">
        <fgColor rgb="FFDCE6F1"/>
        <bgColor rgb="FF000000"/>
      </patternFill>
    </fill>
    <fill>
      <patternFill patternType="solid">
        <fgColor rgb="FFB8CCE4"/>
        <bgColor rgb="FF000000"/>
      </patternFill>
    </fill>
    <fill>
      <patternFill patternType="solid">
        <fgColor rgb="FF95B3D7"/>
        <bgColor rgb="FF000000"/>
      </patternFill>
    </fill>
    <fill>
      <patternFill patternType="solid">
        <fgColor rgb="FF366092"/>
        <bgColor rgb="FF000000"/>
      </patternFill>
    </fill>
    <fill>
      <patternFill patternType="solid">
        <fgColor rgb="FFF2DCDB"/>
        <bgColor rgb="FF000000"/>
      </patternFill>
    </fill>
    <fill>
      <patternFill patternType="solid">
        <fgColor rgb="FFE6B8B7"/>
        <bgColor rgb="FF000000"/>
      </patternFill>
    </fill>
    <fill>
      <patternFill patternType="solid">
        <fgColor rgb="FFDA9694"/>
        <bgColor rgb="FF000000"/>
      </patternFill>
    </fill>
    <fill>
      <patternFill patternType="solid">
        <fgColor rgb="FF963634"/>
        <bgColor rgb="FF000000"/>
      </patternFill>
    </fill>
    <fill>
      <patternFill patternType="solid">
        <fgColor rgb="FFD8E4BC"/>
        <bgColor rgb="FF000000"/>
      </patternFill>
    </fill>
    <fill>
      <patternFill patternType="solid">
        <fgColor rgb="FFC4D79B"/>
        <bgColor rgb="FF000000"/>
      </patternFill>
    </fill>
    <fill>
      <patternFill patternType="solid">
        <fgColor rgb="FFD9D9D9"/>
        <bgColor rgb="FF000000"/>
      </patternFill>
    </fill>
    <fill>
      <patternFill patternType="solid">
        <fgColor rgb="FFFAB6B6"/>
        <bgColor rgb="FF000000"/>
      </patternFill>
    </fill>
  </fills>
  <borders count="4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right/>
      <top style="thin">
        <color rgb="FF000000"/>
      </top>
      <bottom/>
      <diagonal/>
    </border>
    <border>
      <left style="thin">
        <color theme="2"/>
      </left>
      <right style="thin">
        <color theme="2"/>
      </right>
      <top style="thin">
        <color theme="2"/>
      </top>
      <bottom style="thin">
        <color theme="2"/>
      </bottom>
      <diagonal/>
    </border>
    <border>
      <left/>
      <right style="thin">
        <color theme="2"/>
      </right>
      <top/>
      <bottom style="thin">
        <color theme="2"/>
      </bottom>
      <diagonal/>
    </border>
    <border>
      <left style="thin">
        <color indexed="64"/>
      </left>
      <right style="thin">
        <color indexed="64"/>
      </right>
      <top style="thin">
        <color theme="2"/>
      </top>
      <bottom style="thin">
        <color theme="2"/>
      </bottom>
      <diagonal/>
    </border>
    <border>
      <left style="thin">
        <color indexed="64"/>
      </left>
      <right/>
      <top style="thin">
        <color theme="2"/>
      </top>
      <bottom/>
      <diagonal/>
    </border>
    <border>
      <left/>
      <right/>
      <top style="thin">
        <color theme="2"/>
      </top>
      <bottom/>
      <diagonal/>
    </border>
    <border>
      <left style="thin">
        <color indexed="64"/>
      </left>
      <right/>
      <top/>
      <bottom style="thin">
        <color theme="2"/>
      </bottom>
      <diagonal/>
    </border>
    <border>
      <left/>
      <right/>
      <top/>
      <bottom style="thin">
        <color theme="2"/>
      </bottom>
      <diagonal/>
    </border>
    <border>
      <left/>
      <right style="thin">
        <color indexed="64"/>
      </right>
      <top/>
      <bottom style="thin">
        <color theme="2"/>
      </bottom>
      <diagonal/>
    </border>
    <border>
      <left/>
      <right/>
      <top style="thin">
        <color theme="2"/>
      </top>
      <bottom style="thin">
        <color theme="2"/>
      </bottom>
      <diagonal/>
    </border>
    <border>
      <left/>
      <right style="thin">
        <color indexed="64"/>
      </right>
      <top style="thin">
        <color theme="2"/>
      </top>
      <bottom style="thin">
        <color theme="2"/>
      </bottom>
      <diagonal/>
    </border>
    <border>
      <left style="thin">
        <color indexed="64"/>
      </left>
      <right/>
      <top style="thin">
        <color theme="2"/>
      </top>
      <bottom style="thin">
        <color theme="2"/>
      </bottom>
      <diagonal/>
    </border>
    <border>
      <left/>
      <right style="thin">
        <color theme="2"/>
      </right>
      <top style="thin">
        <color theme="2"/>
      </top>
      <bottom style="thin">
        <color theme="2"/>
      </bottom>
      <diagonal/>
    </border>
    <border>
      <left style="thin">
        <color indexed="64"/>
      </left>
      <right style="thin">
        <color indexed="64"/>
      </right>
      <top/>
      <bottom style="thin">
        <color theme="2"/>
      </bottom>
      <diagonal/>
    </border>
    <border>
      <left/>
      <right style="thin">
        <color theme="1"/>
      </right>
      <top style="thin">
        <color theme="2"/>
      </top>
      <bottom style="thin">
        <color theme="2"/>
      </bottom>
      <diagonal/>
    </border>
    <border>
      <left style="thin">
        <color indexed="64"/>
      </left>
      <right style="thin">
        <color indexed="64"/>
      </right>
      <top style="thin">
        <color theme="2"/>
      </top>
      <bottom/>
      <diagonal/>
    </border>
    <border>
      <left style="thin">
        <color indexed="64"/>
      </left>
      <right style="thin">
        <color indexed="64"/>
      </right>
      <top/>
      <bottom style="thin">
        <color rgb="FF000000"/>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rgb="FFE7E6E6"/>
      </top>
      <bottom style="thin">
        <color rgb="FFE7E6E6"/>
      </bottom>
      <diagonal/>
    </border>
    <border>
      <left style="thin">
        <color indexed="64"/>
      </left>
      <right/>
      <top style="thin">
        <color rgb="FFE7E6E6"/>
      </top>
      <bottom style="thin">
        <color rgb="FFE7E6E6"/>
      </bottom>
      <diagonal/>
    </border>
    <border>
      <left/>
      <right style="thin">
        <color indexed="64"/>
      </right>
      <top/>
      <bottom style="thin">
        <color rgb="FFE7E6E6"/>
      </bottom>
      <diagonal/>
    </border>
    <border>
      <left style="thin">
        <color indexed="64"/>
      </left>
      <right style="thin">
        <color indexed="64"/>
      </right>
      <top/>
      <bottom style="thin">
        <color rgb="FFE7E6E6"/>
      </bottom>
      <diagonal/>
    </border>
    <border>
      <left/>
      <right/>
      <top style="thin">
        <color rgb="FFE7E6E6"/>
      </top>
      <bottom style="thin">
        <color rgb="FFE7E6E6"/>
      </bottom>
      <diagonal/>
    </border>
    <border>
      <left style="thin">
        <color indexed="64"/>
      </left>
      <right/>
      <top style="thin">
        <color rgb="FFE7E6E6"/>
      </top>
      <bottom/>
      <diagonal/>
    </border>
    <border>
      <left/>
      <right/>
      <top/>
      <bottom style="thin">
        <color rgb="FFE7E6E6"/>
      </bottom>
      <diagonal/>
    </border>
    <border>
      <left/>
      <right/>
      <top style="thin">
        <color rgb="FFE7E6E6"/>
      </top>
      <bottom/>
      <diagonal/>
    </border>
    <border>
      <left style="thin">
        <color indexed="64"/>
      </left>
      <right/>
      <top/>
      <bottom style="thin">
        <color rgb="FF000000"/>
      </bottom>
      <diagonal/>
    </border>
    <border>
      <left/>
      <right style="thin">
        <color indexed="64"/>
      </right>
      <top/>
      <bottom style="thin">
        <color rgb="FF000000"/>
      </bottom>
      <diagonal/>
    </border>
    <border>
      <left/>
      <right/>
      <top style="thin">
        <color indexed="64"/>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style="thin">
        <color rgb="FF000000"/>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thin">
        <color indexed="64"/>
      </left>
      <right/>
      <top/>
      <bottom style="thin">
        <color rgb="FFE7E6E6"/>
      </bottom>
      <diagonal/>
    </border>
    <border>
      <left style="thin">
        <color indexed="64"/>
      </left>
      <right/>
      <top style="thin">
        <color rgb="FF000000"/>
      </top>
      <bottom style="thin">
        <color theme="2"/>
      </bottom>
      <diagonal/>
    </border>
    <border>
      <left/>
      <right style="thin">
        <color indexed="64"/>
      </right>
      <top style="thin">
        <color rgb="FF000000"/>
      </top>
      <bottom style="thin">
        <color theme="2"/>
      </bottom>
      <diagonal/>
    </border>
    <border>
      <left style="thin">
        <color theme="2"/>
      </left>
      <right/>
      <top style="thin">
        <color rgb="FF000000"/>
      </top>
      <bottom style="thin">
        <color rgb="FFE7E6E6"/>
      </bottom>
      <diagonal/>
    </border>
    <border>
      <left/>
      <right/>
      <top style="thin">
        <color rgb="FF000000"/>
      </top>
      <bottom style="thin">
        <color rgb="FFE7E6E6"/>
      </bottom>
      <diagonal/>
    </border>
    <border>
      <left/>
      <right style="thin">
        <color indexed="64"/>
      </right>
      <top style="thin">
        <color rgb="FF000000"/>
      </top>
      <bottom style="thin">
        <color rgb="FFE7E6E6"/>
      </bottom>
      <diagonal/>
    </border>
    <border>
      <left style="medium">
        <color rgb="FF000000"/>
      </left>
      <right style="medium">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diagonal/>
    </border>
    <border>
      <left/>
      <right/>
      <top style="medium">
        <color rgb="FF000000"/>
      </top>
      <bottom style="medium">
        <color rgb="FF000000"/>
      </bottom>
      <diagonal/>
    </border>
    <border>
      <left style="medium">
        <color rgb="FF000000"/>
      </left>
      <right style="thin">
        <color indexed="64"/>
      </right>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thin">
        <color theme="1"/>
      </right>
      <top style="thin">
        <color theme="2"/>
      </top>
      <bottom/>
      <diagonal/>
    </border>
    <border>
      <left/>
      <right style="thin">
        <color indexed="64"/>
      </right>
      <top style="thin">
        <color rgb="FFE7E6E6"/>
      </top>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rgb="FF000000"/>
      </left>
      <right style="thin">
        <color rgb="FF000000"/>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thin">
        <color rgb="FF000000"/>
      </left>
      <right style="medium">
        <color indexed="64"/>
      </right>
      <top/>
      <bottom style="thin">
        <color rgb="FF000000"/>
      </bottom>
      <diagonal/>
    </border>
    <border>
      <left style="thin">
        <color indexed="64"/>
      </left>
      <right style="medium">
        <color indexed="64"/>
      </right>
      <top/>
      <bottom/>
      <diagonal/>
    </border>
    <border>
      <left style="thin">
        <color rgb="FF000000"/>
      </left>
      <right style="medium">
        <color indexed="64"/>
      </right>
      <top style="thin">
        <color rgb="FF000000"/>
      </top>
      <bottom style="thin">
        <color rgb="FF000000"/>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thin">
        <color rgb="FF000000"/>
      </bottom>
      <diagonal/>
    </border>
    <border>
      <left/>
      <right style="thin">
        <color rgb="FF000000"/>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right/>
      <top/>
      <bottom style="medium">
        <color rgb="FF000000"/>
      </bottom>
      <diagonal/>
    </border>
    <border>
      <left/>
      <right/>
      <top style="medium">
        <color rgb="FF000000"/>
      </top>
      <bottom/>
      <diagonal/>
    </border>
    <border>
      <left style="medium">
        <color rgb="FF000000"/>
      </left>
      <right style="medium">
        <color indexed="64"/>
      </right>
      <top style="medium">
        <color indexed="64"/>
      </top>
      <bottom style="medium">
        <color rgb="FF000000"/>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indexed="64"/>
      </left>
      <right style="thin">
        <color theme="6" tint="0.39997558519241921"/>
      </right>
      <top style="thin">
        <color indexed="64"/>
      </top>
      <bottom style="thin">
        <color theme="6" tint="0.39997558519241921"/>
      </bottom>
      <diagonal/>
    </border>
    <border>
      <left style="thin">
        <color theme="6" tint="0.39997558519241921"/>
      </left>
      <right style="thin">
        <color theme="6" tint="0.39997558519241921"/>
      </right>
      <top style="thin">
        <color indexed="64"/>
      </top>
      <bottom style="thin">
        <color theme="6" tint="0.39997558519241921"/>
      </bottom>
      <diagonal/>
    </border>
    <border>
      <left style="thin">
        <color theme="6" tint="0.39997558519241921"/>
      </left>
      <right style="thin">
        <color indexed="64"/>
      </right>
      <top style="thin">
        <color indexed="64"/>
      </top>
      <bottom style="thin">
        <color theme="6" tint="0.39997558519241921"/>
      </bottom>
      <diagonal/>
    </border>
    <border>
      <left style="thin">
        <color indexed="64"/>
      </left>
      <right style="thin">
        <color theme="6" tint="0.39997558519241921"/>
      </right>
      <top style="thin">
        <color theme="6" tint="0.39997558519241921"/>
      </top>
      <bottom style="thin">
        <color theme="6" tint="0.39997558519241921"/>
      </bottom>
      <diagonal/>
    </border>
    <border>
      <left style="thin">
        <color theme="6" tint="0.39997558519241921"/>
      </left>
      <right style="thin">
        <color indexed="64"/>
      </right>
      <top style="thin">
        <color theme="6" tint="0.39997558519241921"/>
      </top>
      <bottom style="thin">
        <color theme="6" tint="0.39997558519241921"/>
      </bottom>
      <diagonal/>
    </border>
    <border>
      <left style="thin">
        <color indexed="64"/>
      </left>
      <right style="thin">
        <color theme="6" tint="0.39997558519241921"/>
      </right>
      <top style="thin">
        <color theme="6" tint="0.39997558519241921"/>
      </top>
      <bottom style="thin">
        <color indexed="64"/>
      </bottom>
      <diagonal/>
    </border>
    <border>
      <left style="thin">
        <color theme="6" tint="0.39997558519241921"/>
      </left>
      <right style="thin">
        <color theme="6" tint="0.39997558519241921"/>
      </right>
      <top style="thin">
        <color theme="6" tint="0.39997558519241921"/>
      </top>
      <bottom style="thin">
        <color indexed="64"/>
      </bottom>
      <diagonal/>
    </border>
    <border>
      <left/>
      <right style="thin">
        <color indexed="64"/>
      </right>
      <top style="thin">
        <color theme="6" tint="0.39997558519241921"/>
      </top>
      <bottom style="thin">
        <color indexed="64"/>
      </bottom>
      <diagonal/>
    </border>
    <border>
      <left style="thin">
        <color theme="6" tint="0.39997558519241921"/>
      </left>
      <right/>
      <top style="thin">
        <color indexed="64"/>
      </top>
      <bottom style="thin">
        <color theme="6" tint="0.39997558519241921"/>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top style="thin">
        <color theme="6" tint="0.39997558519241921"/>
      </top>
      <bottom style="thin">
        <color indexed="64"/>
      </bottom>
      <diagonal/>
    </border>
    <border>
      <left style="thin">
        <color theme="6" tint="0.39997558519241921"/>
      </left>
      <right/>
      <top style="thin">
        <color indexed="64"/>
      </top>
      <bottom style="thin">
        <color indexed="64"/>
      </bottom>
      <diagonal/>
    </border>
    <border>
      <left style="thin">
        <color indexed="64"/>
      </left>
      <right style="medium">
        <color indexed="64"/>
      </right>
      <top/>
      <bottom style="thin">
        <color rgb="FFE7E6E6"/>
      </bottom>
      <diagonal/>
    </border>
    <border>
      <left style="thin">
        <color indexed="64"/>
      </left>
      <right style="medium">
        <color indexed="64"/>
      </right>
      <top style="thin">
        <color rgb="FFE7E6E6"/>
      </top>
      <bottom style="thin">
        <color rgb="FFE7E6E6"/>
      </bottom>
      <diagonal/>
    </border>
    <border>
      <left style="thin">
        <color indexed="64"/>
      </left>
      <right style="medium">
        <color indexed="64"/>
      </right>
      <top style="thin">
        <color rgb="FFE7E6E6"/>
      </top>
      <bottom/>
      <diagonal/>
    </border>
    <border>
      <left style="thin">
        <color indexed="64"/>
      </left>
      <right style="medium">
        <color indexed="64"/>
      </right>
      <top/>
      <bottom style="thin">
        <color rgb="FF000000"/>
      </bottom>
      <diagonal/>
    </border>
    <border>
      <left style="thin">
        <color indexed="64"/>
      </left>
      <right style="medium">
        <color indexed="64"/>
      </right>
      <top/>
      <bottom style="thin">
        <color theme="2"/>
      </bottom>
      <diagonal/>
    </border>
    <border>
      <left style="thin">
        <color indexed="64"/>
      </left>
      <right style="medium">
        <color indexed="64"/>
      </right>
      <top style="thin">
        <color theme="2"/>
      </top>
      <bottom style="thin">
        <color theme="2"/>
      </bottom>
      <diagonal/>
    </border>
    <border>
      <left style="thin">
        <color indexed="64"/>
      </left>
      <right style="medium">
        <color indexed="64"/>
      </right>
      <top style="thin">
        <color theme="2"/>
      </top>
      <bottom/>
      <diagonal/>
    </border>
    <border>
      <left style="medium">
        <color rgb="FF000000"/>
      </left>
      <right style="medium">
        <color indexed="64"/>
      </right>
      <top style="medium">
        <color rgb="FF000000"/>
      </top>
      <bottom style="medium">
        <color rgb="FF000000"/>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6" tint="0.39997558519241921"/>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theme="2"/>
      </top>
      <bottom style="thin">
        <color theme="2"/>
      </bottom>
      <diagonal/>
    </border>
    <border>
      <left style="thin">
        <color indexed="64"/>
      </left>
      <right style="thin">
        <color indexed="64"/>
      </right>
      <top/>
      <bottom style="medium">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medium">
        <color indexed="64"/>
      </right>
      <top style="thin">
        <color indexed="64"/>
      </top>
      <bottom style="thin">
        <color indexed="64"/>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thin">
        <color indexed="64"/>
      </right>
      <top style="medium">
        <color indexed="64"/>
      </top>
      <bottom style="medium">
        <color indexed="64"/>
      </bottom>
      <diagonal/>
    </border>
    <border>
      <left style="medium">
        <color rgb="FF000000"/>
      </left>
      <right style="thin">
        <color rgb="FF000000"/>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rgb="FF000000"/>
      </bottom>
      <diagonal/>
    </border>
    <border>
      <left style="thin">
        <color theme="2"/>
      </left>
      <right/>
      <top style="thin">
        <color rgb="FFE7E6E6"/>
      </top>
      <bottom/>
      <diagonal/>
    </border>
    <border>
      <left/>
      <right style="medium">
        <color indexed="64"/>
      </right>
      <top style="thin">
        <color theme="2"/>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rgb="FF000000"/>
      </right>
      <top style="thin">
        <color rgb="FF000000"/>
      </top>
      <bottom style="thin">
        <color rgb="FF000000"/>
      </bottom>
      <diagonal/>
    </border>
    <border>
      <left style="medium">
        <color indexed="64"/>
      </left>
      <right style="medium">
        <color rgb="FF000000"/>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right style="medium">
        <color indexed="64"/>
      </right>
      <top style="medium">
        <color indexed="64"/>
      </top>
      <bottom style="thin">
        <color rgb="FF000000"/>
      </bottom>
      <diagonal/>
    </border>
    <border>
      <left/>
      <right style="thin">
        <color indexed="64"/>
      </right>
      <top style="thin">
        <color indexed="64"/>
      </top>
      <bottom style="thin">
        <color theme="2"/>
      </bottom>
      <diagonal/>
    </border>
    <border>
      <left/>
      <right style="thin">
        <color theme="2"/>
      </right>
      <top/>
      <bottom/>
      <diagonal/>
    </border>
    <border>
      <left/>
      <right style="thin">
        <color theme="2"/>
      </right>
      <top style="thin">
        <color theme="2"/>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right/>
      <top style="thin">
        <color indexed="64"/>
      </top>
      <bottom style="medium">
        <color indexed="64"/>
      </bottom>
      <diagonal/>
    </border>
    <border>
      <left style="thin">
        <color rgb="FF000000"/>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thin">
        <color indexed="64"/>
      </left>
      <right/>
      <top style="thin">
        <color indexed="64"/>
      </top>
      <bottom style="thin">
        <color rgb="FF000000"/>
      </bottom>
      <diagonal/>
    </border>
    <border>
      <left style="thin">
        <color indexed="64"/>
      </left>
      <right style="thin">
        <color theme="2"/>
      </right>
      <top style="thin">
        <color theme="2"/>
      </top>
      <bottom style="thin">
        <color theme="2"/>
      </bottom>
      <diagonal/>
    </border>
    <border>
      <left style="thin">
        <color indexed="64"/>
      </left>
      <right style="thin">
        <color theme="2"/>
      </right>
      <top style="thin">
        <color theme="2"/>
      </top>
      <bottom/>
      <diagonal/>
    </border>
    <border>
      <left style="medium">
        <color indexed="64"/>
      </left>
      <right style="medium">
        <color indexed="64"/>
      </right>
      <top style="medium">
        <color indexed="64"/>
      </top>
      <bottom style="thin">
        <color indexed="64"/>
      </bottom>
      <diagonal/>
    </border>
    <border>
      <left style="thin">
        <color indexed="64"/>
      </left>
      <right/>
      <top style="thin">
        <color rgb="FF000000"/>
      </top>
      <bottom style="thin">
        <color rgb="FFE7E6E6"/>
      </bottom>
      <diagonal/>
    </border>
    <border>
      <left style="thin">
        <color theme="2"/>
      </left>
      <right/>
      <top/>
      <bottom style="thin">
        <color rgb="FFE7E6E6"/>
      </bottom>
      <diagonal/>
    </border>
    <border>
      <left style="medium">
        <color indexed="64"/>
      </left>
      <right style="medium">
        <color rgb="FF000000"/>
      </right>
      <top style="medium">
        <color indexed="64"/>
      </top>
      <bottom style="medium">
        <color indexed="64"/>
      </bottom>
      <diagonal/>
    </border>
    <border>
      <left style="thin">
        <color indexed="64"/>
      </left>
      <right style="medium">
        <color rgb="FF000000"/>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bottom style="thin">
        <color rgb="FF000000"/>
      </bottom>
      <diagonal/>
    </border>
    <border>
      <left/>
      <right style="medium">
        <color indexed="64"/>
      </right>
      <top style="thin">
        <color indexed="64"/>
      </top>
      <bottom/>
      <diagonal/>
    </border>
    <border>
      <left style="thin">
        <color rgb="FF000000"/>
      </left>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right/>
      <top style="thin">
        <color rgb="FF000000"/>
      </top>
      <bottom style="double">
        <color rgb="FF000000"/>
      </bottom>
      <diagonal/>
    </border>
    <border>
      <left/>
      <right style="medium">
        <color indexed="64"/>
      </right>
      <top style="thin">
        <color indexed="64"/>
      </top>
      <bottom style="thin">
        <color rgb="FF000000"/>
      </bottom>
      <diagonal/>
    </border>
    <border>
      <left style="medium">
        <color indexed="64"/>
      </left>
      <right/>
      <top style="thin">
        <color rgb="FF000000"/>
      </top>
      <bottom style="thin">
        <color theme="2"/>
      </bottom>
      <diagonal/>
    </border>
    <border>
      <left/>
      <right/>
      <top style="thin">
        <color rgb="FF000000"/>
      </top>
      <bottom style="thin">
        <color theme="2"/>
      </bottom>
      <diagonal/>
    </border>
    <border>
      <left style="thin">
        <color indexed="64"/>
      </left>
      <right style="thin">
        <color indexed="64"/>
      </right>
      <top style="thin">
        <color rgb="FF000000"/>
      </top>
      <bottom/>
      <diagonal/>
    </border>
    <border>
      <left style="thin">
        <color indexed="64"/>
      </left>
      <right/>
      <top style="thin">
        <color indexed="64"/>
      </top>
      <bottom style="thin">
        <color rgb="FFE7E6E6"/>
      </bottom>
      <diagonal/>
    </border>
    <border>
      <left/>
      <right/>
      <top style="thin">
        <color indexed="64"/>
      </top>
      <bottom style="thin">
        <color rgb="FFE7E6E6"/>
      </bottom>
      <diagonal/>
    </border>
    <border>
      <left style="thin">
        <color indexed="64"/>
      </left>
      <right/>
      <top style="thin">
        <color rgb="FFE7E6E6"/>
      </top>
      <bottom style="thin">
        <color indexed="64"/>
      </bottom>
      <diagonal/>
    </border>
    <border>
      <left/>
      <right/>
      <top style="thin">
        <color rgb="FFE7E6E6"/>
      </top>
      <bottom style="thin">
        <color indexed="64"/>
      </bottom>
      <diagonal/>
    </border>
    <border>
      <left style="thin">
        <color theme="2"/>
      </left>
      <right/>
      <top style="thin">
        <color theme="2"/>
      </top>
      <bottom style="thin">
        <color theme="2"/>
      </bottom>
      <diagonal/>
    </border>
    <border>
      <left style="thin">
        <color theme="2"/>
      </left>
      <right/>
      <top style="thin">
        <color theme="2"/>
      </top>
      <bottom style="thin">
        <color indexed="64"/>
      </bottom>
      <diagonal/>
    </border>
    <border>
      <left/>
      <right style="thin">
        <color indexed="64"/>
      </right>
      <top style="thin">
        <color theme="2"/>
      </top>
      <bottom style="thin">
        <color indexed="64"/>
      </bottom>
      <diagonal/>
    </border>
    <border>
      <left style="thin">
        <color indexed="64"/>
      </left>
      <right/>
      <top style="thin">
        <color theme="2"/>
      </top>
      <bottom style="thin">
        <color indexed="64"/>
      </bottom>
      <diagonal/>
    </border>
    <border>
      <left style="thin">
        <color theme="2"/>
      </left>
      <right/>
      <top style="thin">
        <color theme="2"/>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2"/>
      </bottom>
      <diagonal/>
    </border>
    <border>
      <left style="thin">
        <color indexed="64"/>
      </left>
      <right style="thin">
        <color indexed="64"/>
      </right>
      <top style="thin">
        <color rgb="FF000000"/>
      </top>
      <bottom style="thin">
        <color theme="6" tint="0.79998168889431442"/>
      </bottom>
      <diagonal/>
    </border>
    <border>
      <left/>
      <right style="medium">
        <color rgb="FF000000"/>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000000"/>
      </left>
      <right/>
      <top style="medium">
        <color indexed="64"/>
      </top>
      <bottom style="medium">
        <color indexed="64"/>
      </bottom>
      <diagonal/>
    </border>
    <border>
      <left/>
      <right/>
      <top style="medium">
        <color rgb="FF000000"/>
      </top>
      <bottom style="medium">
        <color indexed="64"/>
      </bottom>
      <diagonal/>
    </border>
    <border>
      <left/>
      <right/>
      <top style="thin">
        <color theme="2"/>
      </top>
      <bottom style="medium">
        <color indexed="64"/>
      </bottom>
      <diagonal/>
    </border>
    <border>
      <left/>
      <right style="thin">
        <color indexed="64"/>
      </right>
      <top style="thin">
        <color theme="2"/>
      </top>
      <bottom style="medium">
        <color indexed="64"/>
      </bottom>
      <diagonal/>
    </border>
    <border>
      <left style="medium">
        <color indexed="64"/>
      </left>
      <right/>
      <top style="thin">
        <color theme="2"/>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theme="2"/>
      </bottom>
      <diagonal/>
    </border>
    <border>
      <left style="medium">
        <color indexed="64"/>
      </left>
      <right/>
      <top style="thin">
        <color rgb="FF000000"/>
      </top>
      <bottom style="thin">
        <color indexed="64"/>
      </bottom>
      <diagonal/>
    </border>
    <border>
      <left style="medium">
        <color indexed="64"/>
      </left>
      <right style="medium">
        <color indexed="64"/>
      </right>
      <top style="medium">
        <color indexed="64"/>
      </top>
      <bottom style="thin">
        <color rgb="FF000000"/>
      </bottom>
      <diagonal/>
    </border>
    <border>
      <left/>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top/>
      <bottom style="thin">
        <color theme="2" tint="-9.9978637043366805E-2"/>
      </bottom>
      <diagonal/>
    </border>
    <border>
      <left style="thin">
        <color theme="6" tint="0.39997558519241921"/>
      </left>
      <right/>
      <top/>
      <bottom style="thin">
        <color indexed="64"/>
      </bottom>
      <diagonal/>
    </border>
    <border>
      <left/>
      <right style="thin">
        <color indexed="64"/>
      </right>
      <top style="thin">
        <color rgb="FF000000"/>
      </top>
      <bottom style="thin">
        <color theme="2" tint="-9.9978637043366805E-2"/>
      </bottom>
      <diagonal/>
    </border>
    <border>
      <left/>
      <right/>
      <top style="thin">
        <color rgb="FF000000"/>
      </top>
      <bottom style="thin">
        <color theme="2" tint="-9.9978637043366805E-2"/>
      </bottom>
      <diagonal/>
    </border>
    <border>
      <left style="thin">
        <color theme="2"/>
      </left>
      <right/>
      <top style="thin">
        <color theme="2" tint="-9.9978637043366805E-2"/>
      </top>
      <bottom style="thin">
        <color indexed="64"/>
      </bottom>
      <diagonal/>
    </border>
    <border>
      <left/>
      <right/>
      <top style="thin">
        <color theme="2" tint="-9.9978637043366805E-2"/>
      </top>
      <bottom style="thin">
        <color indexed="64"/>
      </bottom>
      <diagonal/>
    </border>
    <border>
      <left/>
      <right style="thin">
        <color indexed="64"/>
      </right>
      <top style="thin">
        <color theme="2" tint="-9.9978637043366805E-2"/>
      </top>
      <bottom style="thin">
        <color indexed="64"/>
      </bottom>
      <diagonal/>
    </border>
    <border>
      <left/>
      <right style="thin">
        <color theme="2" tint="-9.9978637043366805E-2"/>
      </right>
      <top style="thin">
        <color theme="2" tint="-9.9978637043366805E-2"/>
      </top>
      <bottom style="thin">
        <color theme="2" tint="-9.9978637043366805E-2"/>
      </bottom>
      <diagonal/>
    </border>
    <border>
      <left/>
      <right style="thin">
        <color indexed="64"/>
      </right>
      <top/>
      <bottom style="thin">
        <color theme="2" tint="-9.9978637043366805E-2"/>
      </bottom>
      <diagonal/>
    </border>
    <border>
      <left/>
      <right style="thin">
        <color theme="2" tint="-9.9978637043366805E-2"/>
      </right>
      <top style="thin">
        <color rgb="FF000000"/>
      </top>
      <bottom style="thin">
        <color theme="2" tint="-9.9978637043366805E-2"/>
      </bottom>
      <diagonal/>
    </border>
    <border>
      <left style="thin">
        <color theme="2" tint="-9.9978637043366805E-2"/>
      </left>
      <right/>
      <top style="thin">
        <color rgb="FF000000"/>
      </top>
      <bottom style="thin">
        <color theme="2" tint="-9.9978637043366805E-2"/>
      </bottom>
      <diagonal/>
    </border>
    <border>
      <left/>
      <right style="thin">
        <color theme="2"/>
      </right>
      <top style="thin">
        <color indexed="64"/>
      </top>
      <bottom style="thin">
        <color theme="2"/>
      </bottom>
      <diagonal/>
    </border>
    <border>
      <left style="thin">
        <color theme="2"/>
      </left>
      <right style="thin">
        <color theme="2"/>
      </right>
      <top style="thin">
        <color indexed="64"/>
      </top>
      <bottom style="thin">
        <color theme="2"/>
      </bottom>
      <diagonal/>
    </border>
    <border>
      <left/>
      <right style="thin">
        <color theme="2"/>
      </right>
      <top style="thin">
        <color rgb="FF000000"/>
      </top>
      <bottom style="thin">
        <color theme="2"/>
      </bottom>
      <diagonal/>
    </border>
    <border>
      <left style="thin">
        <color indexed="64"/>
      </left>
      <right/>
      <top style="thin">
        <color theme="2"/>
      </top>
      <bottom style="thin">
        <color rgb="FF000000"/>
      </bottom>
      <diagonal/>
    </border>
    <border>
      <left/>
      <right style="thin">
        <color theme="2"/>
      </right>
      <top style="thin">
        <color theme="2"/>
      </top>
      <bottom style="thin">
        <color rgb="FF000000"/>
      </bottom>
      <diagonal/>
    </border>
    <border>
      <left style="thin">
        <color theme="2"/>
      </left>
      <right/>
      <top style="thin">
        <color indexed="64"/>
      </top>
      <bottom style="thin">
        <color theme="2"/>
      </bottom>
      <diagonal/>
    </border>
    <border>
      <left/>
      <right/>
      <top style="thin">
        <color indexed="64"/>
      </top>
      <bottom style="thin">
        <color theme="2"/>
      </bottom>
      <diagonal/>
    </border>
    <border>
      <left/>
      <right style="thin">
        <color rgb="FF000000"/>
      </right>
      <top style="thin">
        <color indexed="64"/>
      </top>
      <bottom style="thin">
        <color theme="2"/>
      </bottom>
      <diagonal/>
    </border>
    <border>
      <left style="thin">
        <color theme="2"/>
      </left>
      <right/>
      <top style="thin">
        <color rgb="FFE7E6E6"/>
      </top>
      <bottom style="thin">
        <color rgb="FFE7E6E6"/>
      </bottom>
      <diagonal/>
    </border>
    <border>
      <left style="thin">
        <color theme="2"/>
      </left>
      <right/>
      <top style="thin">
        <color rgb="FFE7E6E6"/>
      </top>
      <bottom style="thin">
        <color indexed="64"/>
      </bottom>
      <diagonal/>
    </border>
    <border>
      <left style="thin">
        <color indexed="64"/>
      </left>
      <right style="medium">
        <color indexed="64"/>
      </right>
      <top style="thin">
        <color indexed="64"/>
      </top>
      <bottom style="thin">
        <color theme="2"/>
      </bottom>
      <diagonal/>
    </border>
    <border>
      <left style="thin">
        <color indexed="64"/>
      </left>
      <right style="medium">
        <color indexed="64"/>
      </right>
      <top/>
      <bottom style="medium">
        <color rgb="FF000000"/>
      </bottom>
      <diagonal/>
    </border>
    <border>
      <left style="thin">
        <color indexed="64"/>
      </left>
      <right style="medium">
        <color indexed="64"/>
      </right>
      <top style="thin">
        <color indexed="64"/>
      </top>
      <bottom style="thin">
        <color indexed="64"/>
      </bottom>
      <diagonal/>
    </border>
    <border>
      <left style="thin">
        <color indexed="64"/>
      </left>
      <right/>
      <top style="thin">
        <color rgb="FF000000"/>
      </top>
      <bottom style="thin">
        <color indexed="64"/>
      </bottom>
      <diagonal/>
    </border>
    <border>
      <left/>
      <right style="medium">
        <color indexed="64"/>
      </right>
      <top style="thin">
        <color rgb="FF000000"/>
      </top>
      <bottom style="thin">
        <color indexed="64"/>
      </bottom>
      <diagonal/>
    </border>
    <border>
      <left/>
      <right/>
      <top style="thin">
        <color theme="2"/>
      </top>
      <bottom style="thin">
        <color indexed="64"/>
      </bottom>
      <diagonal/>
    </border>
    <border>
      <left style="thin">
        <color indexed="64"/>
      </left>
      <right style="thin">
        <color indexed="64"/>
      </right>
      <top style="thin">
        <color rgb="FFE7E6E6"/>
      </top>
      <bottom style="thin">
        <color indexed="64"/>
      </bottom>
      <diagonal/>
    </border>
    <border>
      <left style="thin">
        <color indexed="64"/>
      </left>
      <right style="medium">
        <color indexed="64"/>
      </right>
      <top style="thin">
        <color theme="2"/>
      </top>
      <bottom style="thin">
        <color indexed="64"/>
      </bottom>
      <diagonal/>
    </border>
    <border>
      <left/>
      <right style="thin">
        <color theme="2"/>
      </right>
      <top style="thin">
        <color rgb="FFE7E6E6"/>
      </top>
      <bottom style="thin">
        <color rgb="FFE7E6E6"/>
      </bottom>
      <diagonal/>
    </border>
    <border>
      <left style="thin">
        <color theme="2"/>
      </left>
      <right/>
      <top style="thin">
        <color rgb="FF000000"/>
      </top>
      <bottom style="thin">
        <color theme="2"/>
      </bottom>
      <diagonal/>
    </border>
    <border>
      <left/>
      <right style="thin">
        <color theme="2"/>
      </right>
      <top style="thin">
        <color rgb="FFE7E6E6"/>
      </top>
      <bottom style="thin">
        <color indexed="64"/>
      </bottom>
      <diagonal/>
    </border>
    <border>
      <left style="thin">
        <color indexed="64"/>
      </left>
      <right style="thin">
        <color indexed="64"/>
      </right>
      <top style="thin">
        <color indexed="64"/>
      </top>
      <bottom style="thin">
        <color rgb="FF000000"/>
      </bottom>
      <diagonal/>
    </border>
    <border>
      <left/>
      <right style="thin">
        <color rgb="FF000000"/>
      </right>
      <top/>
      <bottom/>
      <diagonal/>
    </border>
    <border>
      <left/>
      <right style="thin">
        <color rgb="FF000000"/>
      </right>
      <top/>
      <bottom style="thin">
        <color rgb="FF000000"/>
      </bottom>
      <diagonal/>
    </border>
    <border>
      <left style="medium">
        <color rgb="FF000000"/>
      </left>
      <right style="medium">
        <color indexed="64"/>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medium">
        <color rgb="FF000000"/>
      </left>
      <right style="medium">
        <color indexed="64"/>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style="medium">
        <color rgb="FF000000"/>
      </bottom>
      <diagonal/>
    </border>
    <border>
      <left style="medium">
        <color indexed="64"/>
      </left>
      <right style="medium">
        <color indexed="64"/>
      </right>
      <top/>
      <bottom style="medium">
        <color rgb="FF000000"/>
      </bottom>
      <diagonal/>
    </border>
    <border>
      <left style="medium">
        <color indexed="64"/>
      </left>
      <right style="medium">
        <color rgb="FF000000"/>
      </right>
      <top/>
      <bottom style="medium">
        <color rgb="FF000000"/>
      </bottom>
      <diagonal/>
    </border>
    <border>
      <left style="thin">
        <color indexed="64"/>
      </left>
      <right/>
      <top style="thin">
        <color indexed="64"/>
      </top>
      <bottom/>
      <diagonal/>
    </border>
    <border>
      <left/>
      <right style="medium">
        <color indexed="64"/>
      </right>
      <top style="thin">
        <color rgb="FF000000"/>
      </top>
      <bottom style="thin">
        <color rgb="FF000000"/>
      </bottom>
      <diagonal/>
    </border>
    <border>
      <left/>
      <right style="thin">
        <color indexed="64"/>
      </right>
      <top style="thin">
        <color indexed="64"/>
      </top>
      <bottom/>
      <diagonal/>
    </border>
    <border>
      <left style="medium">
        <color indexed="64"/>
      </left>
      <right style="medium">
        <color indexed="64"/>
      </right>
      <top style="medium">
        <color rgb="FF000000"/>
      </top>
      <bottom style="medium">
        <color indexed="64"/>
      </bottom>
      <diagonal/>
    </border>
    <border>
      <left/>
      <right/>
      <top style="thin">
        <color theme="6" tint="0.39997558519241921"/>
      </top>
      <bottom style="thin">
        <color indexed="64"/>
      </bottom>
      <diagonal/>
    </border>
    <border>
      <left/>
      <right style="medium">
        <color indexed="64"/>
      </right>
      <top style="thin">
        <color indexed="64"/>
      </top>
      <bottom style="thin">
        <color theme="2"/>
      </bottom>
      <diagonal/>
    </border>
    <border>
      <left/>
      <right style="medium">
        <color indexed="64"/>
      </right>
      <top style="thin">
        <color theme="2"/>
      </top>
      <bottom style="thin">
        <color theme="2"/>
      </bottom>
      <diagonal/>
    </border>
    <border>
      <left style="thin">
        <color indexed="64"/>
      </left>
      <right/>
      <top style="thin">
        <color theme="2"/>
      </top>
      <bottom style="thin">
        <color rgb="FFE7E6E6"/>
      </bottom>
      <diagonal/>
    </border>
    <border>
      <left/>
      <right/>
      <top style="thin">
        <color theme="2"/>
      </top>
      <bottom style="thin">
        <color rgb="FFE7E6E6"/>
      </bottom>
      <diagonal/>
    </border>
    <border>
      <left/>
      <right style="thin">
        <color theme="2" tint="-9.9978637043366805E-2"/>
      </right>
      <top style="thin">
        <color rgb="FF000000"/>
      </top>
      <bottom style="thin">
        <color rgb="FFE7E6E6"/>
      </bottom>
      <diagonal/>
    </border>
    <border>
      <left/>
      <right style="thin">
        <color theme="2" tint="-9.9978637043366805E-2"/>
      </right>
      <top style="thin">
        <color rgb="FFE7E6E6"/>
      </top>
      <bottom style="thin">
        <color rgb="FFE7E6E6"/>
      </bottom>
      <diagonal/>
    </border>
    <border>
      <left/>
      <right style="thin">
        <color theme="2"/>
      </right>
      <top style="thin">
        <color rgb="FF000000"/>
      </top>
      <bottom style="thin">
        <color rgb="FFE7E6E6"/>
      </bottom>
      <diagonal/>
    </border>
    <border>
      <left/>
      <right style="thin">
        <color theme="2"/>
      </right>
      <top style="thin">
        <color indexed="64"/>
      </top>
      <bottom style="thin">
        <color rgb="FFE7E6E6"/>
      </bottom>
      <diagonal/>
    </border>
    <border>
      <left/>
      <right/>
      <top style="thin">
        <color rgb="FFE7E6E6"/>
      </top>
      <bottom style="thin">
        <color rgb="FF000000"/>
      </bottom>
      <diagonal/>
    </border>
    <border>
      <left/>
      <right style="thin">
        <color theme="2"/>
      </right>
      <top style="thin">
        <color rgb="FFE7E6E6"/>
      </top>
      <bottom style="thin">
        <color rgb="FF000000"/>
      </bottom>
      <diagonal/>
    </border>
    <border>
      <left/>
      <right style="thin">
        <color theme="2"/>
      </right>
      <top/>
      <bottom style="thin">
        <color indexed="64"/>
      </bottom>
      <diagonal/>
    </border>
    <border>
      <left/>
      <right style="thin">
        <color theme="2"/>
      </right>
      <top style="thin">
        <color theme="2"/>
      </top>
      <bottom style="thin">
        <color indexed="64"/>
      </bottom>
      <diagonal/>
    </border>
    <border>
      <left/>
      <right style="thin">
        <color indexed="64"/>
      </right>
      <top style="thin">
        <color theme="2" tint="-9.9978637043366805E-2"/>
      </top>
      <bottom style="thin">
        <color theme="6" tint="0.39997558519241921"/>
      </bottom>
      <diagonal/>
    </border>
    <border>
      <left/>
      <right/>
      <top style="thin">
        <color theme="2" tint="-9.9978637043366805E-2"/>
      </top>
      <bottom style="thin">
        <color theme="6" tint="0.39997558519241921"/>
      </bottom>
      <diagonal/>
    </border>
    <border>
      <left/>
      <right/>
      <top style="thin">
        <color indexed="64"/>
      </top>
      <bottom style="thin">
        <color theme="2" tint="-9.9978637043366805E-2"/>
      </bottom>
      <diagonal/>
    </border>
    <border>
      <left/>
      <right style="thin">
        <color indexed="64"/>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indexed="64"/>
      </top>
      <bottom style="thin">
        <color indexed="64"/>
      </bottom>
      <diagonal/>
    </border>
    <border>
      <left style="thin">
        <color theme="2" tint="-9.9978637043366805E-2"/>
      </left>
      <right/>
      <top style="thin">
        <color indexed="64"/>
      </top>
      <bottom style="thin">
        <color indexed="64"/>
      </bottom>
      <diagonal/>
    </border>
    <border>
      <left style="thin">
        <color theme="2" tint="-9.9978637043366805E-2"/>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medium">
        <color indexed="64"/>
      </left>
      <right style="thin">
        <color theme="2" tint="-9.9978637043366805E-2"/>
      </right>
      <top style="medium">
        <color indexed="64"/>
      </top>
      <bottom style="medium">
        <color indexed="64"/>
      </bottom>
      <diagonal/>
    </border>
    <border>
      <left style="thin">
        <color theme="2" tint="-9.9978637043366805E-2"/>
      </left>
      <right style="medium">
        <color indexed="64"/>
      </right>
      <top style="medium">
        <color indexed="64"/>
      </top>
      <bottom style="medium">
        <color indexed="64"/>
      </bottom>
      <diagonal/>
    </border>
    <border>
      <left style="thin">
        <color indexed="64"/>
      </left>
      <right style="thin">
        <color theme="2" tint="-9.9978637043366805E-2"/>
      </right>
      <top style="thin">
        <color indexed="64"/>
      </top>
      <bottom style="thin">
        <color theme="2" tint="-9.9978637043366805E-2"/>
      </bottom>
      <diagonal/>
    </border>
    <border>
      <left style="thin">
        <color theme="2" tint="-9.9978637043366805E-2"/>
      </left>
      <right style="thin">
        <color theme="2" tint="-9.9978637043366805E-2"/>
      </right>
      <top style="thin">
        <color indexed="64"/>
      </top>
      <bottom style="thin">
        <color theme="2" tint="-9.9978637043366805E-2"/>
      </bottom>
      <diagonal/>
    </border>
    <border>
      <left style="thin">
        <color theme="2" tint="-9.9978637043366805E-2"/>
      </left>
      <right style="thin">
        <color indexed="64"/>
      </right>
      <top style="thin">
        <color indexed="64"/>
      </top>
      <bottom style="thin">
        <color theme="2" tint="-9.9978637043366805E-2"/>
      </bottom>
      <diagonal/>
    </border>
    <border>
      <left style="thin">
        <color indexed="64"/>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indexed="64"/>
      </right>
      <top style="thin">
        <color theme="2" tint="-9.9978637043366805E-2"/>
      </top>
      <bottom style="thin">
        <color theme="2" tint="-9.9978637043366805E-2"/>
      </bottom>
      <diagonal/>
    </border>
    <border>
      <left style="thin">
        <color theme="2" tint="-9.9978637043366805E-2"/>
      </left>
      <right style="thin">
        <color indexed="64"/>
      </right>
      <top style="thin">
        <color theme="2" tint="-9.9978637043366805E-2"/>
      </top>
      <bottom/>
      <diagonal/>
    </border>
    <border>
      <left style="thin">
        <color indexed="64"/>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style="thin">
        <color theme="2" tint="-9.9978637043366805E-2"/>
      </top>
      <bottom/>
      <diagonal/>
    </border>
    <border>
      <left style="thin">
        <color indexed="64"/>
      </left>
      <right style="thin">
        <color indexed="64"/>
      </right>
      <top style="thin">
        <color theme="2"/>
      </top>
      <bottom style="thin">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thin">
        <color indexed="64"/>
      </right>
      <top style="thin">
        <color rgb="FF000000"/>
      </top>
      <bottom style="thin">
        <color theme="2"/>
      </bottom>
      <diagonal/>
    </border>
    <border>
      <left style="thin">
        <color indexed="64"/>
      </left>
      <right/>
      <top style="thin">
        <color indexed="64"/>
      </top>
      <bottom style="thin">
        <color theme="6"/>
      </bottom>
      <diagonal/>
    </border>
    <border>
      <left style="thin">
        <color indexed="64"/>
      </left>
      <right/>
      <top style="thin">
        <color theme="6"/>
      </top>
      <bottom style="thin">
        <color theme="6"/>
      </bottom>
      <diagonal/>
    </border>
    <border>
      <left style="thin">
        <color indexed="64"/>
      </left>
      <right/>
      <top style="thin">
        <color theme="6"/>
      </top>
      <bottom style="thin">
        <color indexed="64"/>
      </bottom>
      <diagonal/>
    </border>
    <border>
      <left/>
      <right style="thin">
        <color indexed="64"/>
      </right>
      <top style="thin">
        <color theme="6"/>
      </top>
      <bottom style="thin">
        <color indexed="64"/>
      </bottom>
      <diagonal/>
    </border>
    <border>
      <left/>
      <right/>
      <top style="thin">
        <color theme="6"/>
      </top>
      <bottom style="thin">
        <color indexed="64"/>
      </bottom>
      <diagonal/>
    </border>
    <border>
      <left/>
      <right style="thin">
        <color indexed="64"/>
      </right>
      <top/>
      <bottom style="thin">
        <color theme="6"/>
      </bottom>
      <diagonal/>
    </border>
    <border>
      <left/>
      <right/>
      <top/>
      <bottom style="thin">
        <color theme="6"/>
      </bottom>
      <diagonal/>
    </border>
    <border>
      <left/>
      <right style="thin">
        <color indexed="64"/>
      </right>
      <top style="thin">
        <color theme="6"/>
      </top>
      <bottom style="thin">
        <color theme="6"/>
      </bottom>
      <diagonal/>
    </border>
    <border>
      <left/>
      <right/>
      <top style="thin">
        <color theme="6"/>
      </top>
      <bottom style="thin">
        <color theme="6"/>
      </bottom>
      <diagonal/>
    </border>
    <border>
      <left/>
      <right/>
      <top style="thin">
        <color indexed="64"/>
      </top>
      <bottom style="thin">
        <color theme="6"/>
      </bottom>
      <diagonal/>
    </border>
    <border>
      <left/>
      <right style="thin">
        <color indexed="64"/>
      </right>
      <top style="thin">
        <color indexed="64"/>
      </top>
      <bottom style="thin">
        <color theme="6"/>
      </bottom>
      <diagonal/>
    </border>
    <border>
      <left style="thin">
        <color indexed="64"/>
      </left>
      <right style="thin">
        <color theme="6"/>
      </right>
      <top style="thin">
        <color indexed="64"/>
      </top>
      <bottom style="thin">
        <color theme="6"/>
      </bottom>
      <diagonal/>
    </border>
    <border>
      <left style="thin">
        <color indexed="64"/>
      </left>
      <right style="thin">
        <color theme="6"/>
      </right>
      <top/>
      <bottom/>
      <diagonal/>
    </border>
    <border>
      <left style="thin">
        <color indexed="64"/>
      </left>
      <right style="thin">
        <color theme="6"/>
      </right>
      <top style="thin">
        <color theme="6"/>
      </top>
      <bottom/>
      <diagonal/>
    </border>
    <border>
      <left style="thin">
        <color indexed="64"/>
      </left>
      <right style="thin">
        <color theme="6"/>
      </right>
      <top style="thin">
        <color theme="6"/>
      </top>
      <bottom style="thin">
        <color theme="6"/>
      </bottom>
      <diagonal/>
    </border>
    <border>
      <left style="thin">
        <color indexed="64"/>
      </left>
      <right style="thin">
        <color theme="6"/>
      </right>
      <top style="thin">
        <color theme="6"/>
      </top>
      <bottom style="thin">
        <color indexed="64"/>
      </bottom>
      <diagonal/>
    </border>
    <border>
      <left style="thin">
        <color indexed="64"/>
      </left>
      <right style="thin">
        <color theme="6"/>
      </right>
      <top/>
      <bottom style="thin">
        <color indexed="64"/>
      </bottom>
      <diagonal/>
    </border>
    <border>
      <left style="thin">
        <color theme="6"/>
      </left>
      <right/>
      <top style="thin">
        <color indexed="64"/>
      </top>
      <bottom style="thin">
        <color theme="6"/>
      </bottom>
      <diagonal/>
    </border>
    <border>
      <left style="thin">
        <color theme="6"/>
      </left>
      <right style="thin">
        <color theme="6"/>
      </right>
      <top style="thin">
        <color theme="6"/>
      </top>
      <bottom style="thin">
        <color theme="6"/>
      </bottom>
      <diagonal/>
    </border>
    <border>
      <left style="thin">
        <color theme="6"/>
      </left>
      <right style="thin">
        <color theme="6"/>
      </right>
      <top style="thin">
        <color theme="6"/>
      </top>
      <bottom style="thin">
        <color indexed="64"/>
      </bottom>
      <diagonal/>
    </border>
    <border>
      <left/>
      <right style="thin">
        <color theme="6"/>
      </right>
      <top style="thin">
        <color indexed="64"/>
      </top>
      <bottom style="thin">
        <color theme="6"/>
      </bottom>
      <diagonal/>
    </border>
    <border>
      <left style="thin">
        <color theme="6"/>
      </left>
      <right/>
      <top style="thin">
        <color theme="6"/>
      </top>
      <bottom style="thin">
        <color theme="6"/>
      </bottom>
      <diagonal/>
    </border>
    <border>
      <left style="thin">
        <color indexed="64"/>
      </left>
      <right style="thin">
        <color theme="6"/>
      </right>
      <top style="thin">
        <color indexed="64"/>
      </top>
      <bottom/>
      <diagonal/>
    </border>
    <border>
      <left style="thin">
        <color theme="6" tint="0.59999389629810485"/>
      </left>
      <right/>
      <top style="thin">
        <color theme="6"/>
      </top>
      <bottom style="thin">
        <color theme="6"/>
      </bottom>
      <diagonal/>
    </border>
    <border>
      <left/>
      <right style="thin">
        <color theme="6" tint="0.59999389629810485"/>
      </right>
      <top style="thin">
        <color theme="6"/>
      </top>
      <bottom style="thin">
        <color theme="6"/>
      </bottom>
      <diagonal/>
    </border>
    <border>
      <left style="thin">
        <color theme="6"/>
      </left>
      <right style="thin">
        <color theme="6" tint="0.39997558519241921"/>
      </right>
      <top style="thin">
        <color theme="6"/>
      </top>
      <bottom/>
      <diagonal/>
    </border>
    <border>
      <left style="thin">
        <color theme="6" tint="0.39997558519241921"/>
      </left>
      <right style="thin">
        <color theme="6" tint="0.39997558519241921"/>
      </right>
      <top style="thin">
        <color theme="6"/>
      </top>
      <bottom/>
      <diagonal/>
    </border>
    <border>
      <left style="thin">
        <color theme="6" tint="0.39997558519241921"/>
      </left>
      <right/>
      <top style="thin">
        <color theme="6"/>
      </top>
      <bottom/>
      <diagonal/>
    </border>
    <border>
      <left style="thin">
        <color theme="6" tint="0.39997558519241921"/>
      </left>
      <right style="thin">
        <color theme="6"/>
      </right>
      <top style="thin">
        <color theme="6"/>
      </top>
      <bottom/>
      <diagonal/>
    </border>
    <border>
      <left style="thin">
        <color theme="6"/>
      </left>
      <right/>
      <top style="thin">
        <color theme="6" tint="0.39997558519241921"/>
      </top>
      <bottom style="thin">
        <color theme="6"/>
      </bottom>
      <diagonal/>
    </border>
    <border>
      <left/>
      <right/>
      <top style="thin">
        <color theme="6" tint="0.39997558519241921"/>
      </top>
      <bottom style="thin">
        <color theme="6"/>
      </bottom>
      <diagonal/>
    </border>
    <border>
      <left style="thin">
        <color theme="6" tint="0.39997558519241921"/>
      </left>
      <right/>
      <top style="thin">
        <color theme="6" tint="0.39997558519241921"/>
      </top>
      <bottom style="thin">
        <color theme="6"/>
      </bottom>
      <diagonal/>
    </border>
    <border>
      <left/>
      <right style="thin">
        <color theme="6"/>
      </right>
      <top style="thin">
        <color theme="6" tint="0.39997558519241921"/>
      </top>
      <bottom style="thin">
        <color theme="6"/>
      </bottom>
      <diagonal/>
    </border>
    <border>
      <left style="medium">
        <color rgb="FF000000"/>
      </left>
      <right/>
      <top/>
      <bottom style="thin">
        <color indexed="64"/>
      </bottom>
      <diagonal/>
    </border>
    <border>
      <left style="medium">
        <color indexed="64"/>
      </left>
      <right/>
      <top/>
      <bottom style="medium">
        <color rgb="FF000000"/>
      </bottom>
      <diagonal/>
    </border>
    <border>
      <left style="thin">
        <color rgb="FF000000"/>
      </left>
      <right/>
      <top/>
      <bottom style="thin">
        <color indexed="64"/>
      </bottom>
      <diagonal/>
    </border>
    <border>
      <left/>
      <right style="thin">
        <color rgb="FF000000"/>
      </right>
      <top/>
      <bottom style="thin">
        <color indexed="64"/>
      </bottom>
      <diagonal/>
    </border>
    <border>
      <left style="medium">
        <color indexed="64"/>
      </left>
      <right/>
      <top style="medium">
        <color rgb="FF000000"/>
      </top>
      <bottom/>
      <diagonal/>
    </border>
    <border>
      <left/>
      <right style="medium">
        <color indexed="64"/>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bottom style="medium">
        <color rgb="FF000000"/>
      </bottom>
      <diagonal/>
    </border>
    <border>
      <left style="thin">
        <color indexed="64"/>
      </left>
      <right/>
      <top/>
      <bottom style="medium">
        <color rgb="FF000000"/>
      </bottom>
      <diagonal/>
    </border>
    <border>
      <left style="thin">
        <color theme="6"/>
      </left>
      <right/>
      <top style="thin">
        <color indexed="64"/>
      </top>
      <bottom style="thin">
        <color rgb="FF000000"/>
      </bottom>
      <diagonal/>
    </border>
    <border>
      <left style="thin">
        <color theme="6"/>
      </left>
      <right/>
      <top/>
      <bottom style="thin">
        <color rgb="FF000000"/>
      </bottom>
      <diagonal/>
    </border>
    <border>
      <left/>
      <right style="thin">
        <color indexed="64"/>
      </right>
      <top style="thin">
        <color indexed="64"/>
      </top>
      <bottom style="thin">
        <color rgb="FF000000"/>
      </bottom>
      <diagonal/>
    </border>
    <border>
      <left style="thin">
        <color indexed="64"/>
      </left>
      <right style="thin">
        <color theme="6"/>
      </right>
      <top/>
      <bottom style="thin">
        <color rgb="FF000000"/>
      </bottom>
      <diagonal/>
    </border>
    <border>
      <left style="thin">
        <color theme="6"/>
      </left>
      <right/>
      <top style="thin">
        <color theme="6"/>
      </top>
      <bottom style="thin">
        <color rgb="FF000000"/>
      </bottom>
      <diagonal/>
    </border>
    <border>
      <left/>
      <right/>
      <top style="thin">
        <color theme="6"/>
      </top>
      <bottom style="thin">
        <color rgb="FF000000"/>
      </bottom>
      <diagonal/>
    </border>
    <border>
      <left/>
      <right style="thin">
        <color indexed="64"/>
      </right>
      <top style="thin">
        <color theme="6"/>
      </top>
      <bottom style="thin">
        <color rgb="FF000000"/>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style="thin">
        <color rgb="FFA5A5A5"/>
      </right>
      <top style="thin">
        <color rgb="FFA5A5A5"/>
      </top>
      <bottom style="thin">
        <color rgb="FFA5A5A5"/>
      </bottom>
      <diagonal/>
    </border>
    <border>
      <left style="thin">
        <color theme="6"/>
      </left>
      <right style="thin">
        <color theme="6"/>
      </right>
      <top/>
      <bottom style="thin">
        <color rgb="FF000000"/>
      </bottom>
      <diagonal/>
    </border>
    <border>
      <left/>
      <right/>
      <top/>
      <bottom style="thin">
        <color rgb="FFA5A5A5"/>
      </bottom>
      <diagonal/>
    </border>
    <border>
      <left style="thin">
        <color rgb="FFA5A5A5"/>
      </left>
      <right/>
      <top/>
      <bottom style="thin">
        <color rgb="FFA5A5A5"/>
      </bottom>
      <diagonal/>
    </border>
    <border>
      <left/>
      <right style="thin">
        <color rgb="FFA5A5A5"/>
      </right>
      <top/>
      <bottom style="thin">
        <color rgb="FFA5A5A5"/>
      </bottom>
      <diagonal/>
    </border>
    <border>
      <left/>
      <right style="thin">
        <color rgb="FF000000"/>
      </right>
      <top style="thin">
        <color rgb="FF000000"/>
      </top>
      <bottom style="thin">
        <color theme="0" tint="-0.499984740745262"/>
      </bottom>
      <diagonal/>
    </border>
    <border>
      <left style="thin">
        <color theme="6"/>
      </left>
      <right style="thin">
        <color theme="6"/>
      </right>
      <top style="thin">
        <color theme="0" tint="-0.499984740745262"/>
      </top>
      <bottom style="thin">
        <color theme="6"/>
      </bottom>
      <diagonal/>
    </border>
    <border>
      <left style="thin">
        <color theme="6"/>
      </left>
      <right style="thin">
        <color theme="6"/>
      </right>
      <top style="thin">
        <color theme="6"/>
      </top>
      <bottom/>
      <diagonal/>
    </border>
    <border>
      <left/>
      <right/>
      <top style="thin">
        <color rgb="FF000000"/>
      </top>
      <bottom style="thin">
        <color theme="0" tint="-0.499984740745262"/>
      </bottom>
      <diagonal/>
    </border>
    <border>
      <left style="thin">
        <color theme="6"/>
      </left>
      <right/>
      <top style="thin">
        <color rgb="FF000000"/>
      </top>
      <bottom style="thin">
        <color theme="0" tint="-0.499984740745262"/>
      </bottom>
      <diagonal/>
    </border>
    <border>
      <left/>
      <right style="thin">
        <color theme="6"/>
      </right>
      <top style="thin">
        <color rgb="FF000000"/>
      </top>
      <bottom style="thin">
        <color theme="0" tint="-0.499984740745262"/>
      </bottom>
      <diagonal/>
    </border>
    <border>
      <left/>
      <right style="thin">
        <color theme="0" tint="-0.499984740745262"/>
      </right>
      <top style="thin">
        <color rgb="FF000000"/>
      </top>
      <bottom style="thin">
        <color theme="0" tint="-0.499984740745262"/>
      </bottom>
      <diagonal/>
    </border>
    <border>
      <left/>
      <right style="thin">
        <color theme="0" tint="-0.499984740745262"/>
      </right>
      <top/>
      <bottom style="thin">
        <color rgb="FF000000"/>
      </bottom>
      <diagonal/>
    </border>
    <border>
      <left style="thin">
        <color rgb="FF000000"/>
      </left>
      <right style="thin">
        <color theme="6"/>
      </right>
      <top style="thin">
        <color rgb="FF000000"/>
      </top>
      <bottom style="thin">
        <color theme="0" tint="-0.499984740745262"/>
      </bottom>
      <diagonal/>
    </border>
    <border>
      <left style="thin">
        <color rgb="FFA5A5A5"/>
      </left>
      <right/>
      <top/>
      <bottom style="thin">
        <color indexed="64"/>
      </bottom>
      <diagonal/>
    </border>
    <border>
      <left style="thin">
        <color indexed="64"/>
      </left>
      <right/>
      <top/>
      <bottom style="thin">
        <color rgb="FFA5A5A5"/>
      </bottom>
      <diagonal/>
    </border>
    <border>
      <left style="thin">
        <color rgb="FFA5A5A5"/>
      </left>
      <right/>
      <top/>
      <bottom/>
      <diagonal/>
    </border>
    <border>
      <left/>
      <right style="thin">
        <color rgb="FFA5A5A5"/>
      </right>
      <top/>
      <bottom/>
      <diagonal/>
    </border>
    <border>
      <left/>
      <right style="thin">
        <color rgb="FFA5A5A5"/>
      </right>
      <top/>
      <bottom style="thin">
        <color indexed="64"/>
      </bottom>
      <diagonal/>
    </border>
    <border>
      <left style="thin">
        <color indexed="64"/>
      </left>
      <right/>
      <top style="thin">
        <color indexed="64"/>
      </top>
      <bottom style="thin">
        <color rgb="FFA5A5A5"/>
      </bottom>
      <diagonal/>
    </border>
    <border>
      <left style="thin">
        <color rgb="FFA5A5A5"/>
      </left>
      <right/>
      <top style="thin">
        <color indexed="64"/>
      </top>
      <bottom style="thin">
        <color rgb="FFA5A5A5"/>
      </bottom>
      <diagonal/>
    </border>
    <border>
      <left/>
      <right/>
      <top style="thin">
        <color indexed="64"/>
      </top>
      <bottom style="thin">
        <color rgb="FFA5A5A5"/>
      </bottom>
      <diagonal/>
    </border>
    <border>
      <left/>
      <right style="thin">
        <color rgb="FFA5A5A5"/>
      </right>
      <top style="thin">
        <color indexed="64"/>
      </top>
      <bottom style="thin">
        <color rgb="FFA5A5A5"/>
      </bottom>
      <diagonal/>
    </border>
    <border>
      <left/>
      <right style="thin">
        <color indexed="64"/>
      </right>
      <top style="thin">
        <color indexed="64"/>
      </top>
      <bottom style="thin">
        <color rgb="FFA5A5A5"/>
      </bottom>
      <diagonal/>
    </border>
    <border>
      <left/>
      <right style="thin">
        <color indexed="64"/>
      </right>
      <top style="thin">
        <color rgb="FFA5A5A5"/>
      </top>
      <bottom style="thin">
        <color rgb="FFA5A5A5"/>
      </bottom>
      <diagonal/>
    </border>
    <border>
      <left style="thin">
        <color indexed="64"/>
      </left>
      <right style="thin">
        <color rgb="FFA5A5A5"/>
      </right>
      <top style="thin">
        <color rgb="FFA5A5A5"/>
      </top>
      <bottom/>
      <diagonal/>
    </border>
    <border>
      <left style="thin">
        <color indexed="64"/>
      </left>
      <right style="thin">
        <color rgb="FFA5A5A5"/>
      </right>
      <top/>
      <bottom style="thin">
        <color indexed="64"/>
      </bottom>
      <diagonal/>
    </border>
    <border>
      <left/>
      <right/>
      <top style="thin">
        <color rgb="FFA5A5A5"/>
      </top>
      <bottom style="thin">
        <color indexed="64"/>
      </bottom>
      <diagonal/>
    </border>
    <border>
      <left style="thin">
        <color rgb="FFA5A5A5"/>
      </left>
      <right/>
      <top style="thin">
        <color rgb="FFA5A5A5"/>
      </top>
      <bottom style="thin">
        <color indexed="64"/>
      </bottom>
      <diagonal/>
    </border>
    <border>
      <left style="thin">
        <color rgb="FFA5A5A5"/>
      </left>
      <right/>
      <top style="thin">
        <color rgb="FFA5A5A5"/>
      </top>
      <bottom/>
      <diagonal/>
    </border>
    <border>
      <left/>
      <right/>
      <top style="thin">
        <color rgb="FFA5A5A5"/>
      </top>
      <bottom/>
      <diagonal/>
    </border>
    <border>
      <left/>
      <right style="thin">
        <color rgb="FFA5A5A5"/>
      </right>
      <top style="thin">
        <color rgb="FFA5A5A5"/>
      </top>
      <bottom/>
      <diagonal/>
    </border>
    <border>
      <left style="thin">
        <color indexed="64"/>
      </left>
      <right style="thin">
        <color rgb="FFA5A5A5"/>
      </right>
      <top/>
      <bottom/>
      <diagonal/>
    </border>
    <border>
      <left/>
      <right style="thin">
        <color indexed="64"/>
      </right>
      <top style="thin">
        <color rgb="FFA5A5A5"/>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43" fontId="3" fillId="0" borderId="0" applyFont="0" applyFill="0" applyBorder="0" applyAlignment="0" applyProtection="0"/>
  </cellStyleXfs>
  <cellXfs count="1632">
    <xf numFmtId="0" fontId="0" fillId="0" borderId="0" xfId="0"/>
    <xf numFmtId="0" fontId="0" fillId="0" borderId="0" xfId="0" applyAlignment="1">
      <alignment vertical="center"/>
    </xf>
    <xf numFmtId="0" fontId="8" fillId="0" borderId="19" xfId="8" applyFont="1" applyBorder="1" applyAlignment="1">
      <alignment horizontal="center" vertical="center" wrapText="1"/>
    </xf>
    <xf numFmtId="0" fontId="8" fillId="0" borderId="20" xfId="8" applyFont="1" applyBorder="1" applyAlignment="1">
      <alignment horizontal="center" vertical="center" wrapText="1"/>
    </xf>
    <xf numFmtId="0" fontId="6" fillId="0" borderId="21" xfId="0" applyFont="1" applyBorder="1" applyAlignment="1">
      <alignment vertical="center" wrapText="1"/>
    </xf>
    <xf numFmtId="0" fontId="0" fillId="0" borderId="0" xfId="0" applyAlignment="1">
      <alignment horizontal="center"/>
    </xf>
    <xf numFmtId="0" fontId="6" fillId="0" borderId="17" xfId="0" applyFont="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11" fillId="0" borderId="21" xfId="0" applyFont="1" applyBorder="1" applyAlignment="1">
      <alignment vertical="top" wrapText="1"/>
    </xf>
    <xf numFmtId="2" fontId="8" fillId="0" borderId="0" xfId="9" quotePrefix="1" applyNumberFormat="1" applyFont="1" applyBorder="1" applyAlignment="1">
      <alignment horizontal="center" vertical="center" wrapText="1"/>
    </xf>
    <xf numFmtId="0" fontId="8" fillId="0" borderId="0" xfId="9" applyNumberFormat="1" applyFont="1" applyBorder="1" applyAlignment="1">
      <alignment horizontal="center" wrapText="1"/>
    </xf>
    <xf numFmtId="0" fontId="12" fillId="0" borderId="0" xfId="0" applyFont="1"/>
    <xf numFmtId="0" fontId="14" fillId="0" borderId="0" xfId="0" applyFont="1"/>
    <xf numFmtId="0" fontId="17" fillId="0" borderId="0" xfId="0" applyFont="1"/>
    <xf numFmtId="0" fontId="14" fillId="0" borderId="0" xfId="0" applyFont="1" applyAlignment="1">
      <alignment horizontal="left"/>
    </xf>
    <xf numFmtId="0" fontId="12" fillId="0" borderId="0" xfId="0" applyFont="1" applyAlignment="1">
      <alignment horizontal="left" indent="4"/>
    </xf>
    <xf numFmtId="0" fontId="14" fillId="0" borderId="0" xfId="0" applyFont="1" applyAlignment="1">
      <alignment horizontal="left" indent="2"/>
    </xf>
    <xf numFmtId="0" fontId="3" fillId="0" borderId="0" xfId="0" applyFont="1"/>
    <xf numFmtId="168" fontId="0" fillId="0" borderId="0" xfId="0" applyNumberFormat="1"/>
    <xf numFmtId="0" fontId="2" fillId="0" borderId="0" xfId="0" applyFont="1" applyAlignment="1">
      <alignment horizontal="left"/>
    </xf>
    <xf numFmtId="3" fontId="0" fillId="0" borderId="0" xfId="0" applyNumberFormat="1"/>
    <xf numFmtId="168" fontId="0" fillId="0" borderId="0" xfId="0" applyNumberFormat="1" applyAlignment="1">
      <alignment wrapText="1"/>
    </xf>
    <xf numFmtId="0" fontId="25" fillId="0" borderId="0" xfId="0" applyFont="1"/>
    <xf numFmtId="165" fontId="30" fillId="0" borderId="41" xfId="7" applyNumberFormat="1" applyFont="1" applyFill="1" applyBorder="1" applyProtection="1">
      <protection locked="0"/>
    </xf>
    <xf numFmtId="165" fontId="30" fillId="0" borderId="41" xfId="7" applyNumberFormat="1" applyFont="1" applyFill="1" applyBorder="1" applyProtection="1"/>
    <xf numFmtId="2" fontId="30" fillId="0" borderId="31" xfId="6" applyNumberFormat="1" applyFont="1" applyFill="1" applyBorder="1" applyAlignment="1" applyProtection="1">
      <alignment horizontal="center"/>
    </xf>
    <xf numFmtId="165" fontId="30" fillId="0" borderId="31" xfId="7" applyNumberFormat="1" applyFont="1" applyFill="1" applyBorder="1" applyProtection="1"/>
    <xf numFmtId="165" fontId="30" fillId="2" borderId="31" xfId="7" applyNumberFormat="1" applyFont="1" applyFill="1" applyBorder="1" applyProtection="1"/>
    <xf numFmtId="2" fontId="30" fillId="0" borderId="31" xfId="6" applyNumberFormat="1" applyFont="1" applyFill="1" applyBorder="1" applyAlignment="1" applyProtection="1">
      <alignment horizontal="center"/>
      <protection locked="0"/>
    </xf>
    <xf numFmtId="2" fontId="30" fillId="2" borderId="10" xfId="6" applyNumberFormat="1" applyFont="1" applyFill="1" applyBorder="1" applyAlignment="1" applyProtection="1">
      <alignment horizontal="center"/>
      <protection locked="0"/>
    </xf>
    <xf numFmtId="165" fontId="30" fillId="2" borderId="8" xfId="7" applyNumberFormat="1" applyFont="1" applyFill="1" applyBorder="1" applyProtection="1"/>
    <xf numFmtId="2" fontId="30" fillId="2" borderId="38" xfId="6" applyNumberFormat="1" applyFont="1" applyFill="1" applyBorder="1" applyAlignment="1" applyProtection="1">
      <alignment horizontal="center"/>
      <protection locked="0"/>
    </xf>
    <xf numFmtId="2" fontId="30" fillId="2" borderId="36" xfId="6" applyNumberFormat="1" applyFont="1" applyFill="1" applyBorder="1" applyAlignment="1" applyProtection="1">
      <alignment horizontal="center"/>
      <protection locked="0"/>
    </xf>
    <xf numFmtId="165" fontId="30" fillId="2" borderId="41" xfId="7" applyNumberFormat="1" applyFont="1" applyFill="1" applyBorder="1" applyProtection="1"/>
    <xf numFmtId="165" fontId="30" fillId="0" borderId="8" xfId="7" applyNumberFormat="1" applyFont="1" applyFill="1" applyBorder="1" applyProtection="1">
      <protection locked="0"/>
    </xf>
    <xf numFmtId="165" fontId="30" fillId="0" borderId="8" xfId="7" applyNumberFormat="1" applyFont="1" applyFill="1" applyBorder="1" applyProtection="1"/>
    <xf numFmtId="165" fontId="30" fillId="3" borderId="10" xfId="7" applyNumberFormat="1" applyFont="1" applyFill="1" applyBorder="1" applyProtection="1"/>
    <xf numFmtId="165" fontId="30" fillId="2" borderId="8" xfId="7" applyNumberFormat="1" applyFont="1" applyFill="1" applyBorder="1" applyProtection="1">
      <protection hidden="1"/>
    </xf>
    <xf numFmtId="165" fontId="30" fillId="3" borderId="8" xfId="7" applyNumberFormat="1" applyFont="1" applyFill="1" applyBorder="1" applyProtection="1"/>
    <xf numFmtId="165" fontId="30" fillId="2" borderId="43" xfId="7" applyNumberFormat="1" applyFont="1" applyFill="1" applyBorder="1" applyProtection="1"/>
    <xf numFmtId="9" fontId="27" fillId="4" borderId="0" xfId="6" applyFont="1" applyFill="1" applyBorder="1" applyAlignment="1" applyProtection="1">
      <alignment horizontal="center" wrapText="1"/>
    </xf>
    <xf numFmtId="165" fontId="30" fillId="2" borderId="41" xfId="7" applyNumberFormat="1" applyFont="1" applyFill="1" applyBorder="1" applyProtection="1">
      <protection locked="0"/>
    </xf>
    <xf numFmtId="165" fontId="30" fillId="2" borderId="8" xfId="7" applyNumberFormat="1" applyFont="1" applyFill="1" applyBorder="1" applyProtection="1">
      <protection locked="0"/>
    </xf>
    <xf numFmtId="166" fontId="30" fillId="0" borderId="8" xfId="6" applyNumberFormat="1" applyFont="1" applyBorder="1" applyAlignment="1" applyProtection="1">
      <alignment horizontal="center"/>
      <protection locked="0"/>
    </xf>
    <xf numFmtId="44" fontId="30" fillId="0" borderId="8" xfId="7" applyFont="1" applyBorder="1" applyAlignment="1" applyProtection="1">
      <alignment horizontal="center" vertical="center"/>
      <protection locked="0"/>
    </xf>
    <xf numFmtId="165" fontId="30" fillId="5" borderId="41" xfId="7" applyNumberFormat="1" applyFont="1" applyFill="1" applyBorder="1" applyProtection="1">
      <protection locked="0"/>
    </xf>
    <xf numFmtId="165" fontId="30" fillId="3" borderId="0" xfId="7" applyNumberFormat="1" applyFont="1" applyFill="1" applyBorder="1" applyAlignment="1" applyProtection="1"/>
    <xf numFmtId="165" fontId="30" fillId="5" borderId="43" xfId="7" applyNumberFormat="1" applyFont="1" applyFill="1" applyBorder="1" applyProtection="1">
      <protection locked="0"/>
    </xf>
    <xf numFmtId="0" fontId="30" fillId="6" borderId="2" xfId="4" applyFont="1" applyFill="1" applyBorder="1" applyAlignment="1">
      <alignment horizontal="right"/>
    </xf>
    <xf numFmtId="10" fontId="27" fillId="0" borderId="13" xfId="4" applyNumberFormat="1" applyFont="1" applyBorder="1" applyAlignment="1" applyProtection="1">
      <alignment horizontal="center"/>
      <protection locked="0"/>
    </xf>
    <xf numFmtId="164" fontId="30" fillId="6" borderId="2" xfId="4" applyNumberFormat="1" applyFont="1" applyFill="1" applyBorder="1"/>
    <xf numFmtId="0" fontId="30" fillId="6" borderId="2" xfId="4" applyFont="1" applyFill="1" applyBorder="1"/>
    <xf numFmtId="0" fontId="30" fillId="0" borderId="0" xfId="4" applyFont="1" applyAlignment="1" applyProtection="1">
      <alignment horizontal="center" vertical="top" wrapText="1"/>
      <protection locked="0"/>
    </xf>
    <xf numFmtId="2" fontId="30" fillId="2" borderId="43" xfId="6" applyNumberFormat="1" applyFont="1" applyFill="1" applyBorder="1" applyAlignment="1" applyProtection="1">
      <alignment horizontal="center"/>
      <protection locked="0"/>
    </xf>
    <xf numFmtId="0" fontId="30" fillId="0" borderId="0" xfId="4" applyFont="1" applyProtection="1">
      <protection locked="0"/>
    </xf>
    <xf numFmtId="165" fontId="30" fillId="0" borderId="72" xfId="7" applyNumberFormat="1" applyFont="1" applyFill="1" applyBorder="1" applyProtection="1"/>
    <xf numFmtId="165" fontId="30" fillId="0" borderId="47" xfId="7" applyNumberFormat="1" applyFont="1" applyFill="1" applyBorder="1" applyProtection="1"/>
    <xf numFmtId="165" fontId="30" fillId="0" borderId="51" xfId="7" applyNumberFormat="1" applyFont="1" applyFill="1" applyBorder="1" applyProtection="1"/>
    <xf numFmtId="165" fontId="30" fillId="2" borderId="34" xfId="7" applyNumberFormat="1" applyFont="1" applyFill="1" applyBorder="1" applyProtection="1"/>
    <xf numFmtId="165" fontId="30" fillId="2" borderId="39" xfId="7" applyNumberFormat="1" applyFont="1" applyFill="1" applyBorder="1" applyProtection="1"/>
    <xf numFmtId="165" fontId="30" fillId="2" borderId="32" xfId="7" applyNumberFormat="1" applyFont="1" applyFill="1" applyBorder="1" applyProtection="1"/>
    <xf numFmtId="165" fontId="30" fillId="0" borderId="34" xfId="7" applyNumberFormat="1" applyFont="1" applyFill="1" applyBorder="1" applyProtection="1">
      <protection locked="0"/>
    </xf>
    <xf numFmtId="0" fontId="26" fillId="5" borderId="63" xfId="4" applyFont="1" applyFill="1" applyBorder="1"/>
    <xf numFmtId="165" fontId="30" fillId="3" borderId="0" xfId="7" applyNumberFormat="1" applyFont="1" applyFill="1" applyBorder="1" applyProtection="1"/>
    <xf numFmtId="0" fontId="37" fillId="9" borderId="19" xfId="0" applyFont="1" applyFill="1" applyBorder="1"/>
    <xf numFmtId="0" fontId="37" fillId="9" borderId="20" xfId="0" applyFont="1" applyFill="1" applyBorder="1" applyAlignment="1">
      <alignment wrapText="1"/>
    </xf>
    <xf numFmtId="0" fontId="37" fillId="10" borderId="13" xfId="0" applyFont="1" applyFill="1" applyBorder="1" applyAlignment="1">
      <alignment wrapText="1"/>
    </xf>
    <xf numFmtId="0" fontId="37" fillId="10" borderId="15" xfId="0" applyFont="1" applyFill="1" applyBorder="1" applyAlignment="1">
      <alignment wrapText="1"/>
    </xf>
    <xf numFmtId="0" fontId="37" fillId="11" borderId="22" xfId="0" applyFont="1" applyFill="1" applyBorder="1" applyAlignment="1">
      <alignment wrapText="1"/>
    </xf>
    <xf numFmtId="0" fontId="37" fillId="11" borderId="18" xfId="0" applyFont="1" applyFill="1" applyBorder="1" applyAlignment="1">
      <alignment wrapText="1"/>
    </xf>
    <xf numFmtId="0" fontId="37" fillId="12" borderId="22" xfId="0" applyFont="1" applyFill="1" applyBorder="1" applyAlignment="1">
      <alignment wrapText="1"/>
    </xf>
    <xf numFmtId="0" fontId="37" fillId="12" borderId="18" xfId="0" applyFont="1" applyFill="1" applyBorder="1" applyAlignment="1">
      <alignment wrapText="1"/>
    </xf>
    <xf numFmtId="0" fontId="37" fillId="13" borderId="22" xfId="0" applyFont="1" applyFill="1" applyBorder="1" applyAlignment="1">
      <alignment wrapText="1"/>
    </xf>
    <xf numFmtId="0" fontId="37" fillId="13" borderId="18" xfId="0" applyFont="1" applyFill="1" applyBorder="1" applyAlignment="1">
      <alignment wrapText="1"/>
    </xf>
    <xf numFmtId="0" fontId="37" fillId="14" borderId="22" xfId="0" applyFont="1" applyFill="1" applyBorder="1" applyAlignment="1">
      <alignment wrapText="1"/>
    </xf>
    <xf numFmtId="0" fontId="37" fillId="14" borderId="18" xfId="0" applyFont="1" applyFill="1" applyBorder="1" applyAlignment="1">
      <alignment wrapText="1"/>
    </xf>
    <xf numFmtId="0" fontId="37" fillId="13" borderId="13" xfId="0" applyFont="1" applyFill="1" applyBorder="1" applyAlignment="1">
      <alignment wrapText="1"/>
    </xf>
    <xf numFmtId="0" fontId="37" fillId="13" borderId="15" xfId="0" applyFont="1" applyFill="1" applyBorder="1" applyAlignment="1">
      <alignment wrapText="1"/>
    </xf>
    <xf numFmtId="0" fontId="37" fillId="0" borderId="0" xfId="0" applyFont="1"/>
    <xf numFmtId="2" fontId="30" fillId="0" borderId="41" xfId="6" applyNumberFormat="1" applyFont="1" applyFill="1" applyBorder="1" applyAlignment="1" applyProtection="1">
      <alignment horizontal="center"/>
      <protection locked="0"/>
    </xf>
    <xf numFmtId="9" fontId="3" fillId="0" borderId="93" xfId="0" applyNumberFormat="1" applyFont="1" applyBorder="1"/>
    <xf numFmtId="0" fontId="3" fillId="0" borderId="94" xfId="0" applyFont="1" applyBorder="1"/>
    <xf numFmtId="0" fontId="3" fillId="0" borderId="93" xfId="0" applyFont="1" applyBorder="1"/>
    <xf numFmtId="10" fontId="3" fillId="0" borderId="94" xfId="0" applyNumberFormat="1" applyFont="1" applyBorder="1"/>
    <xf numFmtId="9" fontId="3" fillId="0" borderId="95" xfId="0" applyNumberFormat="1" applyFont="1" applyBorder="1"/>
    <xf numFmtId="0" fontId="3" fillId="0" borderId="96" xfId="0" applyFont="1" applyBorder="1"/>
    <xf numFmtId="0" fontId="3" fillId="0" borderId="95" xfId="0" applyFont="1" applyBorder="1"/>
    <xf numFmtId="10" fontId="3" fillId="0" borderId="96" xfId="0" applyNumberFormat="1" applyFont="1" applyBorder="1"/>
    <xf numFmtId="0" fontId="3" fillId="0" borderId="97" xfId="0" applyFont="1" applyBorder="1"/>
    <xf numFmtId="10" fontId="3" fillId="0" borderId="20" xfId="0" applyNumberFormat="1" applyFont="1" applyBorder="1"/>
    <xf numFmtId="0" fontId="3" fillId="14" borderId="3" xfId="0" applyFont="1" applyFill="1" applyBorder="1"/>
    <xf numFmtId="10" fontId="3" fillId="0" borderId="4" xfId="0" applyNumberFormat="1" applyFont="1" applyBorder="1"/>
    <xf numFmtId="0" fontId="3" fillId="12" borderId="3" xfId="0" applyFont="1" applyFill="1" applyBorder="1"/>
    <xf numFmtId="0" fontId="3" fillId="0" borderId="20" xfId="0" applyFont="1" applyBorder="1"/>
    <xf numFmtId="0" fontId="3" fillId="10" borderId="3" xfId="0" applyFont="1" applyFill="1" applyBorder="1"/>
    <xf numFmtId="0" fontId="3" fillId="13" borderId="3" xfId="0" applyFont="1" applyFill="1" applyBorder="1"/>
    <xf numFmtId="0" fontId="3" fillId="0" borderId="4" xfId="0" applyFont="1" applyBorder="1"/>
    <xf numFmtId="9" fontId="3" fillId="0" borderId="97" xfId="0" applyNumberFormat="1" applyFont="1" applyBorder="1"/>
    <xf numFmtId="10" fontId="3" fillId="11" borderId="3" xfId="0" applyNumberFormat="1" applyFont="1" applyFill="1" applyBorder="1"/>
    <xf numFmtId="10" fontId="3" fillId="13" borderId="3" xfId="0" applyNumberFormat="1" applyFont="1" applyFill="1" applyBorder="1"/>
    <xf numFmtId="10" fontId="3" fillId="9" borderId="3" xfId="0" applyNumberFormat="1" applyFont="1" applyFill="1" applyBorder="1"/>
    <xf numFmtId="0" fontId="25" fillId="0" borderId="26" xfId="0" applyFont="1" applyBorder="1"/>
    <xf numFmtId="0" fontId="26" fillId="5" borderId="101" xfId="4" applyFont="1" applyFill="1" applyBorder="1"/>
    <xf numFmtId="0" fontId="0" fillId="0" borderId="0" xfId="0" applyAlignment="1">
      <alignment horizontal="right"/>
    </xf>
    <xf numFmtId="0" fontId="40" fillId="15" borderId="0" xfId="0" applyFont="1" applyFill="1"/>
    <xf numFmtId="168" fontId="40" fillId="15" borderId="0" xfId="0" applyNumberFormat="1" applyFont="1" applyFill="1"/>
    <xf numFmtId="168" fontId="14" fillId="0" borderId="0" xfId="0" applyNumberFormat="1" applyFont="1" applyAlignment="1">
      <alignment horizontal="center" vertical="top" wrapText="1"/>
    </xf>
    <xf numFmtId="0" fontId="0" fillId="0" borderId="83" xfId="0" applyBorder="1"/>
    <xf numFmtId="0" fontId="0" fillId="0" borderId="82" xfId="0" applyBorder="1"/>
    <xf numFmtId="0" fontId="16" fillId="0" borderId="117" xfId="0" applyFont="1" applyBorder="1" applyAlignment="1">
      <alignment horizontal="center" vertical="center" wrapText="1"/>
    </xf>
    <xf numFmtId="168" fontId="14" fillId="0" borderId="83" xfId="0" applyNumberFormat="1" applyFont="1" applyBorder="1" applyAlignment="1">
      <alignment horizontal="center" vertical="top" wrapText="1"/>
    </xf>
    <xf numFmtId="0" fontId="41" fillId="0" borderId="81" xfId="0" applyFont="1" applyBorder="1" applyAlignment="1">
      <alignment vertical="top" wrapText="1"/>
    </xf>
    <xf numFmtId="168" fontId="20" fillId="0" borderId="116" xfId="0" applyNumberFormat="1" applyFont="1" applyBorder="1" applyAlignment="1">
      <alignment horizontal="center" vertical="top" wrapText="1"/>
    </xf>
    <xf numFmtId="168" fontId="20" fillId="0" borderId="82" xfId="0" applyNumberFormat="1" applyFont="1" applyBorder="1" applyAlignment="1">
      <alignment horizontal="center" vertical="top" wrapText="1"/>
    </xf>
    <xf numFmtId="0" fontId="14" fillId="0" borderId="84" xfId="0" applyFont="1" applyBorder="1" applyAlignment="1">
      <alignment horizontal="right" vertical="top" wrapText="1"/>
    </xf>
    <xf numFmtId="0" fontId="0" fillId="0" borderId="0" xfId="0" applyAlignment="1">
      <alignment horizontal="right" vertical="center"/>
    </xf>
    <xf numFmtId="0" fontId="10" fillId="0" borderId="21" xfId="0" applyFont="1" applyBorder="1" applyAlignment="1">
      <alignment vertical="center" wrapText="1"/>
    </xf>
    <xf numFmtId="0" fontId="10" fillId="0" borderId="24" xfId="0" applyFont="1" applyBorder="1" applyAlignment="1">
      <alignment vertical="center" wrapText="1"/>
    </xf>
    <xf numFmtId="0" fontId="10" fillId="0" borderId="17" xfId="0" applyFont="1" applyBorder="1" applyAlignment="1">
      <alignment vertical="center" wrapText="1"/>
    </xf>
    <xf numFmtId="0" fontId="8" fillId="0" borderId="26" xfId="8" applyFont="1" applyBorder="1" applyAlignment="1">
      <alignment horizontal="center"/>
    </xf>
    <xf numFmtId="10" fontId="0" fillId="0" borderId="84" xfId="0" applyNumberFormat="1" applyBorder="1" applyAlignment="1">
      <alignment horizontal="right"/>
    </xf>
    <xf numFmtId="0" fontId="0" fillId="0" borderId="83" xfId="0" applyBorder="1" applyAlignment="1">
      <alignment horizontal="center" vertical="center"/>
    </xf>
    <xf numFmtId="0" fontId="0" fillId="0" borderId="116" xfId="0" applyBorder="1"/>
    <xf numFmtId="0" fontId="0" fillId="0" borderId="116" xfId="0" applyBorder="1" applyAlignment="1">
      <alignment horizontal="center" vertical="center"/>
    </xf>
    <xf numFmtId="10" fontId="0" fillId="0" borderId="84" xfId="0" applyNumberFormat="1" applyBorder="1" applyAlignment="1">
      <alignment horizontal="right" vertical="center"/>
    </xf>
    <xf numFmtId="0" fontId="0" fillId="0" borderId="83" xfId="0" applyBorder="1" applyAlignment="1">
      <alignment vertical="center"/>
    </xf>
    <xf numFmtId="0" fontId="0" fillId="0" borderId="116" xfId="0" applyBorder="1" applyAlignment="1">
      <alignment horizontal="left" vertical="center"/>
    </xf>
    <xf numFmtId="0" fontId="0" fillId="0" borderId="116" xfId="0" applyBorder="1" applyAlignment="1">
      <alignment vertical="center"/>
    </xf>
    <xf numFmtId="0" fontId="0" fillId="0" borderId="82" xfId="0" applyBorder="1" applyAlignment="1">
      <alignment vertical="center"/>
    </xf>
    <xf numFmtId="0" fontId="26" fillId="5" borderId="102" xfId="4" applyFont="1" applyFill="1" applyBorder="1"/>
    <xf numFmtId="166" fontId="30" fillId="0" borderId="8" xfId="6" applyNumberFormat="1" applyFont="1" applyFill="1" applyBorder="1" applyAlignment="1" applyProtection="1">
      <alignment horizontal="center" wrapText="1"/>
      <protection locked="0"/>
    </xf>
    <xf numFmtId="44" fontId="30" fillId="0" borderId="8" xfId="7" applyFont="1" applyFill="1" applyBorder="1" applyAlignment="1" applyProtection="1">
      <alignment horizontal="center" vertical="center"/>
      <protection locked="0"/>
    </xf>
    <xf numFmtId="165" fontId="30" fillId="0" borderId="34" xfId="7" applyNumberFormat="1" applyFont="1" applyFill="1" applyBorder="1" applyProtection="1"/>
    <xf numFmtId="165" fontId="30" fillId="0" borderId="39" xfId="7" applyNumberFormat="1" applyFont="1" applyFill="1" applyBorder="1" applyProtection="1"/>
    <xf numFmtId="165" fontId="30" fillId="0" borderId="132" xfId="7" applyNumberFormat="1" applyFont="1" applyFill="1" applyBorder="1" applyProtection="1"/>
    <xf numFmtId="165" fontId="30" fillId="0" borderId="133" xfId="7" applyNumberFormat="1" applyFont="1" applyFill="1" applyBorder="1" applyProtection="1"/>
    <xf numFmtId="165" fontId="30" fillId="0" borderId="134" xfId="7" applyNumberFormat="1" applyFont="1" applyFill="1" applyBorder="1" applyProtection="1"/>
    <xf numFmtId="165" fontId="30" fillId="2" borderId="136" xfId="7" applyNumberFormat="1" applyFont="1" applyFill="1" applyBorder="1" applyProtection="1"/>
    <xf numFmtId="165" fontId="30" fillId="2" borderId="137" xfId="7" applyNumberFormat="1" applyFont="1" applyFill="1" applyBorder="1" applyProtection="1"/>
    <xf numFmtId="165" fontId="30" fillId="2" borderId="138" xfId="7" applyNumberFormat="1" applyFont="1" applyFill="1" applyBorder="1" applyProtection="1"/>
    <xf numFmtId="165" fontId="30" fillId="0" borderId="136" xfId="7" applyNumberFormat="1" applyFont="1" applyFill="1" applyBorder="1" applyProtection="1"/>
    <xf numFmtId="165" fontId="30" fillId="0" borderId="137" xfId="7" applyNumberFormat="1" applyFont="1" applyFill="1" applyBorder="1" applyProtection="1"/>
    <xf numFmtId="165" fontId="30" fillId="0" borderId="106" xfId="7" applyNumberFormat="1" applyFont="1" applyFill="1" applyBorder="1" applyProtection="1">
      <protection locked="0"/>
    </xf>
    <xf numFmtId="165" fontId="30" fillId="2" borderId="138" xfId="7" applyNumberFormat="1" applyFont="1" applyFill="1" applyBorder="1" applyProtection="1">
      <protection locked="0"/>
    </xf>
    <xf numFmtId="165" fontId="30" fillId="0" borderId="138" xfId="7" applyNumberFormat="1" applyFont="1" applyFill="1" applyBorder="1" applyProtection="1">
      <protection locked="0"/>
    </xf>
    <xf numFmtId="165" fontId="30" fillId="0" borderId="137" xfId="7" applyNumberFormat="1" applyFont="1" applyFill="1" applyBorder="1" applyProtection="1">
      <protection locked="0"/>
    </xf>
    <xf numFmtId="49" fontId="27" fillId="5" borderId="26" xfId="4" applyNumberFormat="1" applyFont="1" applyFill="1" applyBorder="1" applyAlignment="1">
      <alignment horizontal="center"/>
    </xf>
    <xf numFmtId="165" fontId="30" fillId="6" borderId="139" xfId="7" applyNumberFormat="1" applyFont="1" applyFill="1" applyBorder="1" applyProtection="1"/>
    <xf numFmtId="2" fontId="30" fillId="0" borderId="8" xfId="6" applyNumberFormat="1" applyFont="1" applyFill="1" applyBorder="1" applyAlignment="1" applyProtection="1">
      <alignment horizontal="center"/>
      <protection locked="0"/>
    </xf>
    <xf numFmtId="9" fontId="27" fillId="4" borderId="24" xfId="6" applyFont="1" applyFill="1" applyBorder="1" applyAlignment="1" applyProtection="1">
      <alignment horizontal="center" wrapText="1"/>
    </xf>
    <xf numFmtId="165" fontId="30" fillId="3" borderId="24" xfId="7" applyNumberFormat="1" applyFont="1" applyFill="1" applyBorder="1" applyAlignment="1" applyProtection="1"/>
    <xf numFmtId="0" fontId="26" fillId="5" borderId="109" xfId="4" applyFont="1" applyFill="1" applyBorder="1"/>
    <xf numFmtId="0" fontId="26" fillId="5" borderId="2" xfId="4" applyFont="1" applyFill="1" applyBorder="1"/>
    <xf numFmtId="0" fontId="26" fillId="5" borderId="145" xfId="4" applyFont="1" applyFill="1" applyBorder="1"/>
    <xf numFmtId="165" fontId="30" fillId="3" borderId="10" xfId="7" applyNumberFormat="1" applyFont="1" applyFill="1" applyBorder="1" applyAlignment="1" applyProtection="1">
      <alignment wrapText="1"/>
    </xf>
    <xf numFmtId="165" fontId="30" fillId="3" borderId="10" xfId="7" applyNumberFormat="1" applyFont="1" applyFill="1" applyBorder="1" applyAlignment="1" applyProtection="1">
      <alignment horizontal="center" wrapText="1"/>
    </xf>
    <xf numFmtId="165" fontId="30" fillId="3" borderId="108" xfId="7" applyNumberFormat="1" applyFont="1" applyFill="1" applyBorder="1" applyAlignment="1" applyProtection="1">
      <alignment wrapText="1"/>
    </xf>
    <xf numFmtId="0" fontId="25" fillId="0" borderId="0" xfId="0" applyFont="1" applyAlignment="1">
      <alignment horizontal="right"/>
    </xf>
    <xf numFmtId="0" fontId="25" fillId="0" borderId="0" xfId="0" applyFont="1" applyAlignment="1">
      <alignment wrapText="1"/>
    </xf>
    <xf numFmtId="0" fontId="25" fillId="6" borderId="24" xfId="0" applyFont="1" applyFill="1" applyBorder="1"/>
    <xf numFmtId="0" fontId="45" fillId="0" borderId="0" xfId="0" applyFont="1"/>
    <xf numFmtId="168" fontId="47" fillId="17" borderId="14" xfId="0" applyNumberFormat="1" applyFont="1" applyFill="1" applyBorder="1" applyAlignment="1">
      <alignment horizontal="center" wrapText="1"/>
    </xf>
    <xf numFmtId="168" fontId="47" fillId="17" borderId="13" xfId="0" applyNumberFormat="1" applyFont="1" applyFill="1" applyBorder="1" applyAlignment="1">
      <alignment horizontal="center" wrapText="1"/>
    </xf>
    <xf numFmtId="0" fontId="2" fillId="17" borderId="24" xfId="0" applyFont="1" applyFill="1" applyBorder="1" applyAlignment="1">
      <alignment horizontal="center"/>
    </xf>
    <xf numFmtId="168" fontId="0" fillId="18" borderId="22" xfId="0" applyNumberFormat="1" applyFill="1" applyBorder="1" applyAlignment="1" applyProtection="1">
      <alignment horizontal="center"/>
      <protection locked="0"/>
    </xf>
    <xf numFmtId="168" fontId="48" fillId="4" borderId="156" xfId="0" applyNumberFormat="1" applyFont="1" applyFill="1" applyBorder="1" applyAlignment="1">
      <alignment horizontal="center"/>
    </xf>
    <xf numFmtId="168" fontId="48" fillId="4" borderId="114" xfId="0" applyNumberFormat="1" applyFont="1" applyFill="1" applyBorder="1" applyAlignment="1">
      <alignment horizontal="center"/>
    </xf>
    <xf numFmtId="168" fontId="49" fillId="19" borderId="157" xfId="0" applyNumberFormat="1" applyFont="1" applyFill="1" applyBorder="1" applyAlignment="1">
      <alignment horizontal="center"/>
    </xf>
    <xf numFmtId="0" fontId="2" fillId="17" borderId="14" xfId="0" applyFont="1" applyFill="1" applyBorder="1" applyAlignment="1">
      <alignment horizontal="center"/>
    </xf>
    <xf numFmtId="168" fontId="48" fillId="4" borderId="155" xfId="0" applyNumberFormat="1" applyFont="1" applyFill="1" applyBorder="1" applyAlignment="1">
      <alignment horizontal="center"/>
    </xf>
    <xf numFmtId="168" fontId="48" fillId="4" borderId="141" xfId="0" applyNumberFormat="1" applyFont="1" applyFill="1" applyBorder="1" applyAlignment="1">
      <alignment horizontal="center"/>
    </xf>
    <xf numFmtId="168" fontId="49" fillId="19" borderId="142" xfId="0" applyNumberFormat="1" applyFont="1" applyFill="1" applyBorder="1" applyAlignment="1">
      <alignment horizontal="center"/>
    </xf>
    <xf numFmtId="168" fontId="0" fillId="18" borderId="13" xfId="0" applyNumberFormat="1" applyFill="1" applyBorder="1" applyAlignment="1" applyProtection="1">
      <alignment horizontal="center"/>
      <protection locked="0"/>
    </xf>
    <xf numFmtId="4" fontId="0" fillId="0" borderId="0" xfId="0" applyNumberFormat="1" applyAlignment="1">
      <alignment horizontal="center"/>
    </xf>
    <xf numFmtId="2" fontId="3" fillId="0" borderId="0" xfId="0" applyNumberFormat="1" applyFont="1"/>
    <xf numFmtId="166" fontId="3" fillId="0" borderId="4" xfId="0" applyNumberFormat="1" applyFont="1" applyBorder="1"/>
    <xf numFmtId="0" fontId="15" fillId="0" borderId="11" xfId="0" applyFont="1" applyBorder="1"/>
    <xf numFmtId="0" fontId="15" fillId="0" borderId="94" xfId="0" applyFont="1" applyBorder="1"/>
    <xf numFmtId="0" fontId="15" fillId="0" borderId="93" xfId="0" applyFont="1" applyBorder="1"/>
    <xf numFmtId="0" fontId="15" fillId="0" borderId="97" xfId="0" applyFont="1" applyBorder="1"/>
    <xf numFmtId="0" fontId="15" fillId="0" borderId="115" xfId="0" applyFont="1" applyBorder="1"/>
    <xf numFmtId="0" fontId="15" fillId="0" borderId="20" xfId="0" applyFont="1" applyBorder="1"/>
    <xf numFmtId="0" fontId="51" fillId="0" borderId="0" xfId="0" applyFont="1"/>
    <xf numFmtId="0" fontId="15" fillId="0" borderId="158" xfId="0" applyFont="1" applyBorder="1"/>
    <xf numFmtId="0" fontId="15" fillId="0" borderId="55" xfId="0" applyFont="1" applyBorder="1"/>
    <xf numFmtId="0" fontId="15" fillId="0" borderId="102" xfId="0" applyFont="1" applyBorder="1"/>
    <xf numFmtId="1" fontId="0" fillId="0" borderId="0" xfId="0" applyNumberFormat="1"/>
    <xf numFmtId="2" fontId="30" fillId="2" borderId="31" xfId="6" applyNumberFormat="1" applyFont="1" applyFill="1" applyBorder="1" applyAlignment="1" applyProtection="1">
      <alignment horizontal="center"/>
      <protection locked="0"/>
    </xf>
    <xf numFmtId="0" fontId="32" fillId="5" borderId="21" xfId="4" applyFont="1" applyFill="1" applyBorder="1" applyAlignment="1">
      <alignment horizontal="center" vertical="center" wrapText="1"/>
    </xf>
    <xf numFmtId="0" fontId="32" fillId="5" borderId="17" xfId="4" applyFont="1" applyFill="1" applyBorder="1" applyAlignment="1">
      <alignment horizontal="center" vertical="center" wrapText="1"/>
    </xf>
    <xf numFmtId="49" fontId="31" fillId="0" borderId="35" xfId="0" applyNumberFormat="1" applyFont="1" applyBorder="1" applyAlignment="1">
      <alignment horizontal="right" wrapText="1"/>
    </xf>
    <xf numFmtId="0" fontId="30" fillId="0" borderId="0" xfId="4" applyFont="1" applyAlignment="1">
      <alignment horizontal="right" vertical="center"/>
    </xf>
    <xf numFmtId="0" fontId="30" fillId="0" borderId="35" xfId="4" applyFont="1" applyBorder="1" applyAlignment="1">
      <alignment horizontal="right" vertical="center"/>
    </xf>
    <xf numFmtId="49" fontId="33" fillId="0" borderId="0" xfId="0" applyNumberFormat="1" applyFont="1" applyProtection="1">
      <protection locked="0"/>
    </xf>
    <xf numFmtId="0" fontId="25" fillId="0" borderId="0" xfId="0" applyFont="1" applyProtection="1">
      <protection locked="0"/>
    </xf>
    <xf numFmtId="0" fontId="25" fillId="0" borderId="0" xfId="0" applyFont="1" applyAlignment="1" applyProtection="1">
      <alignment vertical="center"/>
      <protection locked="0"/>
    </xf>
    <xf numFmtId="49" fontId="31" fillId="0" borderId="35" xfId="0" applyNumberFormat="1" applyFont="1" applyBorder="1" applyAlignment="1" applyProtection="1">
      <alignment horizontal="center"/>
      <protection locked="0"/>
    </xf>
    <xf numFmtId="49" fontId="31" fillId="0" borderId="35" xfId="0" applyNumberFormat="1" applyFont="1" applyBorder="1" applyProtection="1">
      <protection locked="0"/>
    </xf>
    <xf numFmtId="0" fontId="30" fillId="0" borderId="29" xfId="4" applyFont="1" applyBorder="1" applyAlignment="1" applyProtection="1">
      <alignment horizontal="center" vertical="center"/>
      <protection locked="0"/>
    </xf>
    <xf numFmtId="0" fontId="30" fillId="0" borderId="30" xfId="4" applyFont="1" applyBorder="1" applyAlignment="1" applyProtection="1">
      <alignment horizontal="left" vertical="center"/>
      <protection locked="0"/>
    </xf>
    <xf numFmtId="49" fontId="27" fillId="0" borderId="0" xfId="4" applyNumberFormat="1" applyFont="1" applyProtection="1">
      <protection locked="0"/>
    </xf>
    <xf numFmtId="164" fontId="30" fillId="0" borderId="0" xfId="4" applyNumberFormat="1" applyFont="1" applyProtection="1">
      <protection locked="0"/>
    </xf>
    <xf numFmtId="49" fontId="30" fillId="0" borderId="0" xfId="4" applyNumberFormat="1" applyFont="1" applyProtection="1">
      <protection locked="0"/>
    </xf>
    <xf numFmtId="0" fontId="30" fillId="0" borderId="169" xfId="4" applyFont="1" applyBorder="1" applyAlignment="1" applyProtection="1">
      <alignment horizontal="left" vertical="center"/>
      <protection locked="0"/>
    </xf>
    <xf numFmtId="0" fontId="48" fillId="4" borderId="69" xfId="0" applyFont="1" applyFill="1" applyBorder="1" applyAlignment="1">
      <alignment horizontal="right"/>
    </xf>
    <xf numFmtId="0" fontId="45" fillId="0" borderId="0" xfId="0" applyFont="1" applyAlignment="1">
      <alignment horizontal="left" wrapText="1"/>
    </xf>
    <xf numFmtId="0" fontId="0" fillId="17" borderId="0" xfId="0" applyFill="1"/>
    <xf numFmtId="0" fontId="0" fillId="17" borderId="0" xfId="0" applyFill="1" applyAlignment="1">
      <alignment horizontal="right"/>
    </xf>
    <xf numFmtId="43" fontId="2" fillId="17" borderId="0" xfId="0" applyNumberFormat="1" applyFont="1" applyFill="1"/>
    <xf numFmtId="0" fontId="0" fillId="17" borderId="116" xfId="0" applyFill="1" applyBorder="1"/>
    <xf numFmtId="0" fontId="0" fillId="17" borderId="116" xfId="0" applyFill="1" applyBorder="1" applyAlignment="1">
      <alignment horizontal="right"/>
    </xf>
    <xf numFmtId="0" fontId="0" fillId="17" borderId="117" xfId="0" applyFill="1" applyBorder="1"/>
    <xf numFmtId="0" fontId="0" fillId="17" borderId="117" xfId="0" applyFill="1" applyBorder="1" applyAlignment="1">
      <alignment horizontal="right"/>
    </xf>
    <xf numFmtId="43" fontId="0" fillId="17" borderId="117" xfId="0" applyNumberFormat="1" applyFill="1" applyBorder="1"/>
    <xf numFmtId="172" fontId="2" fillId="17" borderId="116" xfId="0" applyNumberFormat="1" applyFont="1" applyFill="1" applyBorder="1"/>
    <xf numFmtId="0" fontId="45" fillId="17" borderId="116" xfId="0" applyFont="1" applyFill="1" applyBorder="1"/>
    <xf numFmtId="172" fontId="48" fillId="4" borderId="171" xfId="0" applyNumberFormat="1" applyFont="1" applyFill="1" applyBorder="1" applyProtection="1">
      <protection hidden="1"/>
    </xf>
    <xf numFmtId="43" fontId="48" fillId="4" borderId="171" xfId="0" applyNumberFormat="1" applyFont="1" applyFill="1" applyBorder="1" applyProtection="1">
      <protection hidden="1"/>
    </xf>
    <xf numFmtId="43" fontId="0" fillId="21" borderId="66" xfId="0" applyNumberFormat="1" applyFill="1" applyBorder="1" applyProtection="1">
      <protection locked="0"/>
    </xf>
    <xf numFmtId="10" fontId="0" fillId="21" borderId="66" xfId="0" applyNumberFormat="1" applyFill="1" applyBorder="1" applyProtection="1">
      <protection locked="0"/>
    </xf>
    <xf numFmtId="0" fontId="0" fillId="21" borderId="98" xfId="0" applyFill="1" applyBorder="1" applyProtection="1">
      <protection locked="0"/>
    </xf>
    <xf numFmtId="0" fontId="0" fillId="21" borderId="66" xfId="0" applyFill="1" applyBorder="1" applyProtection="1">
      <protection locked="0"/>
    </xf>
    <xf numFmtId="0" fontId="0" fillId="17" borderId="27" xfId="0" applyFill="1" applyBorder="1"/>
    <xf numFmtId="0" fontId="0" fillId="17" borderId="27" xfId="0" applyFill="1" applyBorder="1" applyAlignment="1">
      <alignment horizontal="right"/>
    </xf>
    <xf numFmtId="43" fontId="2" fillId="17" borderId="27" xfId="0" applyNumberFormat="1" applyFont="1" applyFill="1" applyBorder="1"/>
    <xf numFmtId="43" fontId="0" fillId="21" borderId="172" xfId="0" applyNumberFormat="1" applyFill="1" applyBorder="1" applyProtection="1">
      <protection locked="0"/>
    </xf>
    <xf numFmtId="10" fontId="26" fillId="22" borderId="68" xfId="5" applyNumberFormat="1" applyFont="1" applyFill="1" applyBorder="1" applyAlignment="1" applyProtection="1">
      <alignment horizontal="center" wrapText="1"/>
      <protection locked="0"/>
    </xf>
    <xf numFmtId="10" fontId="26" fillId="22" borderId="64" xfId="5" applyNumberFormat="1" applyFont="1" applyFill="1" applyBorder="1" applyAlignment="1" applyProtection="1">
      <alignment horizontal="center" wrapText="1"/>
      <protection locked="0"/>
    </xf>
    <xf numFmtId="9" fontId="26" fillId="22" borderId="44" xfId="6" applyFont="1" applyFill="1" applyBorder="1" applyAlignment="1" applyProtection="1">
      <alignment horizontal="center"/>
    </xf>
    <xf numFmtId="0" fontId="26" fillId="22" borderId="54" xfId="4" applyFont="1" applyFill="1" applyBorder="1" applyAlignment="1" applyProtection="1">
      <alignment horizontal="center"/>
      <protection locked="0"/>
    </xf>
    <xf numFmtId="9" fontId="26" fillId="22" borderId="44" xfId="6" applyFont="1" applyFill="1" applyBorder="1" applyAlignment="1" applyProtection="1">
      <alignment horizontal="center"/>
      <protection locked="0"/>
    </xf>
    <xf numFmtId="164" fontId="26" fillId="22" borderId="44" xfId="4" applyNumberFormat="1" applyFont="1" applyFill="1" applyBorder="1" applyAlignment="1" applyProtection="1">
      <alignment horizontal="center" wrapText="1"/>
      <protection locked="0"/>
    </xf>
    <xf numFmtId="164" fontId="26" fillId="22" borderId="68" xfId="4" applyNumberFormat="1" applyFont="1" applyFill="1" applyBorder="1" applyAlignment="1" applyProtection="1">
      <alignment horizontal="center" wrapText="1"/>
      <protection locked="0"/>
    </xf>
    <xf numFmtId="0" fontId="26" fillId="22" borderId="64" xfId="4" applyFont="1" applyFill="1" applyBorder="1" applyAlignment="1" applyProtection="1">
      <alignment horizontal="center"/>
      <protection locked="0"/>
    </xf>
    <xf numFmtId="165" fontId="30" fillId="23" borderId="85" xfId="7" applyNumberFormat="1" applyFont="1" applyFill="1" applyBorder="1" applyProtection="1">
      <protection locked="0"/>
    </xf>
    <xf numFmtId="165" fontId="30" fillId="23" borderId="85" xfId="7" applyNumberFormat="1" applyFont="1" applyFill="1" applyBorder="1" applyProtection="1"/>
    <xf numFmtId="165" fontId="30" fillId="24" borderId="64" xfId="7" applyNumberFormat="1" applyFont="1" applyFill="1" applyBorder="1" applyAlignment="1" applyProtection="1">
      <alignment horizontal="center" wrapText="1"/>
      <protection locked="0"/>
    </xf>
    <xf numFmtId="165" fontId="30" fillId="24" borderId="8" xfId="7" applyNumberFormat="1" applyFont="1" applyFill="1" applyBorder="1" applyProtection="1"/>
    <xf numFmtId="165" fontId="30" fillId="24" borderId="64" xfId="7" applyNumberFormat="1" applyFont="1" applyFill="1" applyBorder="1" applyAlignment="1" applyProtection="1">
      <alignment horizontal="center" wrapText="1"/>
    </xf>
    <xf numFmtId="165" fontId="30" fillId="24" borderId="162" xfId="7" applyNumberFormat="1" applyFont="1" applyFill="1" applyBorder="1" applyProtection="1"/>
    <xf numFmtId="165" fontId="26" fillId="24" borderId="163" xfId="7" applyNumberFormat="1" applyFont="1" applyFill="1" applyBorder="1" applyAlignment="1" applyProtection="1">
      <alignment horizontal="center"/>
      <protection locked="0"/>
    </xf>
    <xf numFmtId="165" fontId="26" fillId="24" borderId="66" xfId="7" applyNumberFormat="1" applyFont="1" applyFill="1" applyBorder="1" applyAlignment="1" applyProtection="1">
      <alignment horizontal="center"/>
      <protection locked="0"/>
    </xf>
    <xf numFmtId="165" fontId="26" fillId="24" borderId="163" xfId="7" applyNumberFormat="1" applyFont="1" applyFill="1" applyBorder="1" applyAlignment="1" applyProtection="1">
      <alignment horizontal="center"/>
    </xf>
    <xf numFmtId="165" fontId="26" fillId="24" borderId="66" xfId="7" applyNumberFormat="1" applyFont="1" applyFill="1" applyBorder="1" applyAlignment="1" applyProtection="1">
      <alignment horizontal="center"/>
    </xf>
    <xf numFmtId="10" fontId="26" fillId="24" borderId="149" xfId="5" applyNumberFormat="1" applyFont="1" applyFill="1" applyBorder="1" applyAlignment="1" applyProtection="1">
      <alignment horizontal="center" wrapText="1"/>
      <protection locked="0"/>
    </xf>
    <xf numFmtId="10" fontId="26" fillId="24" borderId="150" xfId="5" applyNumberFormat="1" applyFont="1" applyFill="1" applyBorder="1" applyAlignment="1" applyProtection="1">
      <alignment horizontal="center" wrapText="1"/>
      <protection locked="0"/>
    </xf>
    <xf numFmtId="9" fontId="26" fillId="24" borderId="44" xfId="6" applyFont="1" applyFill="1" applyBorder="1" applyAlignment="1" applyProtection="1">
      <alignment horizontal="center" wrapText="1"/>
    </xf>
    <xf numFmtId="164" fontId="26" fillId="24" borderId="44" xfId="4" applyNumberFormat="1" applyFont="1" applyFill="1" applyBorder="1" applyAlignment="1">
      <alignment horizontal="center" wrapText="1"/>
    </xf>
    <xf numFmtId="0" fontId="26" fillId="24" borderId="135" xfId="4" applyFont="1" applyFill="1" applyBorder="1" applyAlignment="1">
      <alignment horizontal="center" wrapText="1"/>
    </xf>
    <xf numFmtId="0" fontId="26" fillId="24" borderId="68" xfId="4" applyFont="1" applyFill="1" applyBorder="1" applyAlignment="1">
      <alignment horizontal="center" wrapText="1"/>
    </xf>
    <xf numFmtId="164" fontId="26" fillId="24" borderId="68" xfId="4" applyNumberFormat="1" applyFont="1" applyFill="1" applyBorder="1" applyAlignment="1">
      <alignment horizontal="center" wrapText="1"/>
    </xf>
    <xf numFmtId="0" fontId="26" fillId="24" borderId="105" xfId="4" applyFont="1" applyFill="1" applyBorder="1" applyAlignment="1">
      <alignment horizontal="center" wrapText="1"/>
    </xf>
    <xf numFmtId="9" fontId="26" fillId="24" borderId="59" xfId="6" applyFont="1" applyFill="1" applyBorder="1" applyAlignment="1" applyProtection="1">
      <alignment horizontal="center" wrapText="1"/>
    </xf>
    <xf numFmtId="49" fontId="27" fillId="24" borderId="2" xfId="4" applyNumberFormat="1" applyFont="1" applyFill="1" applyBorder="1" applyAlignment="1">
      <alignment vertical="center" wrapText="1"/>
    </xf>
    <xf numFmtId="49" fontId="27" fillId="24" borderId="145" xfId="4" applyNumberFormat="1" applyFont="1" applyFill="1" applyBorder="1" applyAlignment="1">
      <alignment vertical="center" wrapText="1"/>
    </xf>
    <xf numFmtId="0" fontId="25" fillId="24" borderId="2" xfId="0" applyFont="1" applyFill="1" applyBorder="1"/>
    <xf numFmtId="0" fontId="25" fillId="24" borderId="109" xfId="0" applyFont="1" applyFill="1" applyBorder="1"/>
    <xf numFmtId="0" fontId="25" fillId="24" borderId="145" xfId="0" applyFont="1" applyFill="1" applyBorder="1"/>
    <xf numFmtId="0" fontId="35" fillId="0" borderId="0" xfId="0" applyFont="1" applyAlignment="1" applyProtection="1">
      <alignment horizontal="right"/>
      <protection locked="0"/>
    </xf>
    <xf numFmtId="0" fontId="30" fillId="0" borderId="183" xfId="4" applyFont="1" applyBorder="1" applyAlignment="1" applyProtection="1">
      <alignment horizontal="center" vertical="center"/>
      <protection locked="0"/>
    </xf>
    <xf numFmtId="167" fontId="35" fillId="0" borderId="0" xfId="0" applyNumberFormat="1" applyFont="1" applyAlignment="1" applyProtection="1">
      <alignment horizontal="left"/>
      <protection locked="0"/>
    </xf>
    <xf numFmtId="165" fontId="30" fillId="24" borderId="101" xfId="7" applyNumberFormat="1" applyFont="1" applyFill="1" applyBorder="1" applyAlignment="1" applyProtection="1">
      <alignment horizontal="center" wrapText="1"/>
      <protection locked="0"/>
    </xf>
    <xf numFmtId="165" fontId="30" fillId="24" borderId="101" xfId="7" applyNumberFormat="1" applyFont="1" applyFill="1" applyBorder="1" applyAlignment="1" applyProtection="1">
      <alignment horizontal="center" wrapText="1"/>
    </xf>
    <xf numFmtId="0" fontId="44" fillId="0" borderId="0" xfId="0" applyFont="1" applyProtection="1">
      <protection locked="0"/>
    </xf>
    <xf numFmtId="165" fontId="30" fillId="23" borderId="155" xfId="7" applyNumberFormat="1" applyFont="1" applyFill="1" applyBorder="1" applyProtection="1">
      <protection locked="0"/>
    </xf>
    <xf numFmtId="165" fontId="30" fillId="23" borderId="141" xfId="7" applyNumberFormat="1" applyFont="1" applyFill="1" applyBorder="1" applyProtection="1">
      <protection locked="0"/>
    </xf>
    <xf numFmtId="165" fontId="30" fillId="23" borderId="142" xfId="7" applyNumberFormat="1" applyFont="1" applyFill="1" applyBorder="1" applyProtection="1">
      <protection locked="0"/>
    </xf>
    <xf numFmtId="165" fontId="30" fillId="23" borderId="190" xfId="7" applyNumberFormat="1" applyFont="1" applyFill="1" applyBorder="1" applyProtection="1">
      <protection locked="0"/>
    </xf>
    <xf numFmtId="165" fontId="30" fillId="24" borderId="105" xfId="7" applyNumberFormat="1" applyFont="1" applyFill="1" applyBorder="1" applyAlignment="1" applyProtection="1">
      <alignment horizontal="center" wrapText="1"/>
      <protection locked="0"/>
    </xf>
    <xf numFmtId="165" fontId="30" fillId="24" borderId="106" xfId="7" applyNumberFormat="1" applyFont="1" applyFill="1" applyBorder="1" applyProtection="1"/>
    <xf numFmtId="165" fontId="30" fillId="24" borderId="105" xfId="7" applyNumberFormat="1" applyFont="1" applyFill="1" applyBorder="1" applyAlignment="1" applyProtection="1">
      <alignment horizontal="center" wrapText="1"/>
    </xf>
    <xf numFmtId="165" fontId="30" fillId="24" borderId="14" xfId="7" applyNumberFormat="1" applyFont="1" applyFill="1" applyBorder="1" applyProtection="1"/>
    <xf numFmtId="165" fontId="30" fillId="24" borderId="13" xfId="7" applyNumberFormat="1" applyFont="1" applyFill="1" applyBorder="1" applyProtection="1"/>
    <xf numFmtId="165" fontId="30" fillId="24" borderId="15" xfId="7" applyNumberFormat="1" applyFont="1" applyFill="1" applyBorder="1" applyProtection="1"/>
    <xf numFmtId="165" fontId="30" fillId="24" borderId="14" xfId="7" applyNumberFormat="1" applyFont="1" applyFill="1" applyBorder="1" applyProtection="1">
      <protection locked="0"/>
    </xf>
    <xf numFmtId="165" fontId="30" fillId="23" borderId="155" xfId="7" applyNumberFormat="1" applyFont="1" applyFill="1" applyBorder="1" applyProtection="1"/>
    <xf numFmtId="165" fontId="30" fillId="23" borderId="141" xfId="7" applyNumberFormat="1" applyFont="1" applyFill="1" applyBorder="1" applyProtection="1"/>
    <xf numFmtId="165" fontId="30" fillId="23" borderId="142" xfId="7" applyNumberFormat="1" applyFont="1" applyFill="1" applyBorder="1" applyProtection="1"/>
    <xf numFmtId="165" fontId="30" fillId="23" borderId="190" xfId="7" applyNumberFormat="1" applyFont="1" applyFill="1" applyBorder="1" applyProtection="1"/>
    <xf numFmtId="165" fontId="30" fillId="24" borderId="189" xfId="7" applyNumberFormat="1" applyFont="1" applyFill="1" applyBorder="1" applyProtection="1">
      <protection locked="0"/>
    </xf>
    <xf numFmtId="165" fontId="30" fillId="24" borderId="142" xfId="7" applyNumberFormat="1" applyFont="1" applyFill="1" applyBorder="1" applyProtection="1">
      <protection locked="0"/>
    </xf>
    <xf numFmtId="165" fontId="30" fillId="24" borderId="189" xfId="7" applyNumberFormat="1" applyFont="1" applyFill="1" applyBorder="1" applyProtection="1"/>
    <xf numFmtId="165" fontId="30" fillId="24" borderId="142" xfId="7" applyNumberFormat="1" applyFont="1" applyFill="1" applyBorder="1" applyProtection="1"/>
    <xf numFmtId="165" fontId="30" fillId="24" borderId="99" xfId="7" applyNumberFormat="1" applyFont="1" applyFill="1" applyBorder="1" applyAlignment="1" applyProtection="1">
      <alignment horizontal="center" wrapText="1"/>
      <protection locked="0"/>
    </xf>
    <xf numFmtId="165" fontId="30" fillId="24" borderId="191" xfId="7" applyNumberFormat="1" applyFont="1" applyFill="1" applyBorder="1" applyAlignment="1" applyProtection="1">
      <alignment horizontal="center" wrapText="1"/>
      <protection locked="0"/>
    </xf>
    <xf numFmtId="165" fontId="30" fillId="24" borderId="192" xfId="7" applyNumberFormat="1" applyFont="1" applyFill="1" applyBorder="1" applyAlignment="1" applyProtection="1">
      <alignment horizontal="center" wrapText="1"/>
      <protection locked="0"/>
    </xf>
    <xf numFmtId="165" fontId="30" fillId="24" borderId="188" xfId="7" applyNumberFormat="1" applyFont="1" applyFill="1" applyBorder="1" applyProtection="1">
      <protection locked="0"/>
    </xf>
    <xf numFmtId="165" fontId="30" fillId="24" borderId="188" xfId="7" applyNumberFormat="1" applyFont="1" applyFill="1" applyBorder="1" applyProtection="1"/>
    <xf numFmtId="165" fontId="26" fillId="24" borderId="107" xfId="7" applyNumberFormat="1" applyFont="1" applyFill="1" applyBorder="1" applyAlignment="1" applyProtection="1">
      <alignment horizontal="center"/>
      <protection locked="0"/>
    </xf>
    <xf numFmtId="165" fontId="30" fillId="24" borderId="164" xfId="7" applyNumberFormat="1" applyFont="1" applyFill="1" applyBorder="1" applyProtection="1">
      <protection locked="0"/>
    </xf>
    <xf numFmtId="165" fontId="30" fillId="24" borderId="165" xfId="7" applyNumberFormat="1" applyFont="1" applyFill="1" applyBorder="1" applyProtection="1">
      <protection locked="0"/>
    </xf>
    <xf numFmtId="165" fontId="30" fillId="24" borderId="166" xfId="7" applyNumberFormat="1" applyFont="1" applyFill="1" applyBorder="1" applyProtection="1">
      <protection locked="0"/>
    </xf>
    <xf numFmtId="165" fontId="26" fillId="24" borderId="107" xfId="7" applyNumberFormat="1" applyFont="1" applyFill="1" applyBorder="1" applyAlignment="1" applyProtection="1">
      <alignment horizontal="center"/>
    </xf>
    <xf numFmtId="165" fontId="30" fillId="24" borderId="164" xfId="7" applyNumberFormat="1" applyFont="1" applyFill="1" applyBorder="1" applyProtection="1"/>
    <xf numFmtId="165" fontId="30" fillId="24" borderId="165" xfId="7" applyNumberFormat="1" applyFont="1" applyFill="1" applyBorder="1" applyProtection="1"/>
    <xf numFmtId="165" fontId="30" fillId="24" borderId="166" xfId="7" applyNumberFormat="1" applyFont="1" applyFill="1" applyBorder="1" applyProtection="1"/>
    <xf numFmtId="165" fontId="30" fillId="23" borderId="193" xfId="7" applyNumberFormat="1" applyFont="1" applyFill="1" applyBorder="1" applyProtection="1">
      <protection locked="0"/>
    </xf>
    <xf numFmtId="165" fontId="30" fillId="23" borderId="193" xfId="7" applyNumberFormat="1" applyFont="1" applyFill="1" applyBorder="1" applyProtection="1"/>
    <xf numFmtId="0" fontId="27" fillId="24" borderId="185" xfId="4" applyFont="1" applyFill="1" applyBorder="1" applyAlignment="1" applyProtection="1">
      <alignment horizontal="center"/>
      <protection locked="0"/>
    </xf>
    <xf numFmtId="165" fontId="30" fillId="24" borderId="25" xfId="7" applyNumberFormat="1" applyFont="1" applyFill="1" applyBorder="1" applyProtection="1">
      <protection locked="0"/>
    </xf>
    <xf numFmtId="165" fontId="30" fillId="24" borderId="194" xfId="7" applyNumberFormat="1" applyFont="1" applyFill="1" applyBorder="1" applyProtection="1">
      <protection locked="0"/>
    </xf>
    <xf numFmtId="0" fontId="27" fillId="24" borderId="195" xfId="4" applyFont="1" applyFill="1" applyBorder="1" applyAlignment="1" applyProtection="1">
      <alignment horizontal="center"/>
      <protection locked="0"/>
    </xf>
    <xf numFmtId="165" fontId="30" fillId="24" borderId="25" xfId="7" applyNumberFormat="1" applyFont="1" applyFill="1" applyBorder="1" applyProtection="1"/>
    <xf numFmtId="165" fontId="30" fillId="24" borderId="194" xfId="7" applyNumberFormat="1" applyFont="1" applyFill="1" applyBorder="1" applyProtection="1"/>
    <xf numFmtId="0" fontId="25" fillId="24" borderId="16" xfId="0" applyFont="1" applyFill="1" applyBorder="1"/>
    <xf numFmtId="0" fontId="25" fillId="24" borderId="14" xfId="0" applyFont="1" applyFill="1" applyBorder="1"/>
    <xf numFmtId="0" fontId="25" fillId="27" borderId="14" xfId="0" applyFont="1" applyFill="1" applyBorder="1"/>
    <xf numFmtId="0" fontId="25" fillId="27" borderId="16" xfId="0" applyFont="1" applyFill="1" applyBorder="1"/>
    <xf numFmtId="165" fontId="30" fillId="27" borderId="154" xfId="7" applyNumberFormat="1" applyFont="1" applyFill="1" applyBorder="1" applyProtection="1"/>
    <xf numFmtId="0" fontId="44" fillId="27" borderId="16" xfId="0" applyFont="1" applyFill="1" applyBorder="1" applyAlignment="1">
      <alignment horizontal="right"/>
    </xf>
    <xf numFmtId="165" fontId="27" fillId="27" borderId="152" xfId="7" applyNumberFormat="1" applyFont="1" applyFill="1" applyBorder="1" applyProtection="1"/>
    <xf numFmtId="165" fontId="30" fillId="27" borderId="152" xfId="7" applyNumberFormat="1" applyFont="1" applyFill="1" applyBorder="1" applyProtection="1"/>
    <xf numFmtId="165" fontId="30" fillId="27" borderId="153" xfId="7" applyNumberFormat="1" applyFont="1" applyFill="1" applyBorder="1" applyProtection="1"/>
    <xf numFmtId="165" fontId="30" fillId="27" borderId="141" xfId="7" applyNumberFormat="1" applyFont="1" applyFill="1" applyBorder="1" applyProtection="1"/>
    <xf numFmtId="165" fontId="30" fillId="27" borderId="142" xfId="7" applyNumberFormat="1" applyFont="1" applyFill="1" applyBorder="1" applyProtection="1"/>
    <xf numFmtId="165" fontId="30" fillId="24" borderId="19" xfId="7" applyNumberFormat="1" applyFont="1" applyFill="1" applyBorder="1" applyProtection="1">
      <protection locked="0"/>
    </xf>
    <xf numFmtId="169" fontId="48" fillId="4" borderId="171" xfId="0" applyNumberFormat="1" applyFont="1" applyFill="1" applyBorder="1" applyProtection="1">
      <protection hidden="1"/>
    </xf>
    <xf numFmtId="0" fontId="45" fillId="0" borderId="0" xfId="0" applyFont="1" applyProtection="1">
      <protection locked="0"/>
    </xf>
    <xf numFmtId="0" fontId="30" fillId="0" borderId="37" xfId="4" applyFont="1" applyBorder="1" applyAlignment="1">
      <alignment horizontal="right" vertical="center"/>
    </xf>
    <xf numFmtId="0" fontId="30" fillId="0" borderId="33" xfId="4" applyFont="1" applyBorder="1" applyAlignment="1">
      <alignment horizontal="right" vertical="center"/>
    </xf>
    <xf numFmtId="49" fontId="31" fillId="0" borderId="0" xfId="0" applyNumberFormat="1" applyFont="1" applyAlignment="1">
      <alignment horizontal="right" wrapText="1"/>
    </xf>
    <xf numFmtId="165" fontId="30" fillId="0" borderId="26" xfId="7" applyNumberFormat="1" applyFont="1" applyFill="1" applyBorder="1" applyProtection="1">
      <protection locked="0"/>
    </xf>
    <xf numFmtId="165" fontId="30" fillId="2" borderId="160" xfId="7" applyNumberFormat="1" applyFont="1" applyFill="1" applyBorder="1" applyProtection="1">
      <protection locked="0"/>
    </xf>
    <xf numFmtId="173" fontId="48" fillId="4" borderId="171" xfId="0" applyNumberFormat="1" applyFont="1" applyFill="1" applyBorder="1" applyProtection="1">
      <protection hidden="1"/>
    </xf>
    <xf numFmtId="174" fontId="48" fillId="4" borderId="171" xfId="0" applyNumberFormat="1" applyFont="1" applyFill="1" applyBorder="1" applyProtection="1">
      <protection hidden="1"/>
    </xf>
    <xf numFmtId="10" fontId="30" fillId="0" borderId="41" xfId="3" applyNumberFormat="1" applyFont="1" applyFill="1" applyBorder="1" applyAlignment="1" applyProtection="1">
      <alignment horizontal="center"/>
    </xf>
    <xf numFmtId="10" fontId="30" fillId="2" borderId="49" xfId="3" applyNumberFormat="1" applyFont="1" applyFill="1" applyBorder="1" applyAlignment="1" applyProtection="1">
      <alignment horizontal="center"/>
    </xf>
    <xf numFmtId="0" fontId="30" fillId="0" borderId="0" xfId="4" applyFont="1" applyAlignment="1">
      <alignment horizontal="right"/>
    </xf>
    <xf numFmtId="0" fontId="27" fillId="24" borderId="14" xfId="4" applyFont="1" applyFill="1" applyBorder="1" applyAlignment="1">
      <alignment horizontal="left"/>
    </xf>
    <xf numFmtId="0" fontId="27" fillId="24" borderId="16" xfId="4" applyFont="1" applyFill="1" applyBorder="1" applyAlignment="1">
      <alignment horizontal="left"/>
    </xf>
    <xf numFmtId="0" fontId="32" fillId="5" borderId="24" xfId="4" applyFont="1" applyFill="1" applyBorder="1" applyAlignment="1">
      <alignment horizontal="center" vertical="center" wrapText="1"/>
    </xf>
    <xf numFmtId="9" fontId="27" fillId="16" borderId="0" xfId="6" applyFont="1" applyFill="1" applyBorder="1" applyAlignment="1" applyProtection="1">
      <alignment horizontal="center" wrapText="1"/>
      <protection locked="0"/>
    </xf>
    <xf numFmtId="9" fontId="27" fillId="16" borderId="9" xfId="6" applyFont="1" applyFill="1" applyBorder="1" applyAlignment="1" applyProtection="1">
      <alignment horizontal="center" wrapText="1"/>
      <protection locked="0"/>
    </xf>
    <xf numFmtId="165" fontId="30" fillId="16" borderId="6" xfId="7" applyNumberFormat="1" applyFont="1" applyFill="1" applyBorder="1" applyProtection="1">
      <protection locked="0"/>
    </xf>
    <xf numFmtId="9" fontId="27" fillId="16" borderId="60" xfId="6" applyFont="1" applyFill="1" applyBorder="1" applyAlignment="1" applyProtection="1">
      <alignment horizontal="center" wrapText="1"/>
      <protection locked="0"/>
    </xf>
    <xf numFmtId="165" fontId="30" fillId="16" borderId="10" xfId="7" applyNumberFormat="1" applyFont="1" applyFill="1" applyBorder="1" applyProtection="1">
      <protection locked="0"/>
    </xf>
    <xf numFmtId="165" fontId="30" fillId="2" borderId="221" xfId="7" applyNumberFormat="1" applyFont="1" applyFill="1" applyBorder="1" applyProtection="1"/>
    <xf numFmtId="165" fontId="30" fillId="23" borderId="226" xfId="7" applyNumberFormat="1" applyFont="1" applyFill="1" applyBorder="1" applyProtection="1">
      <protection locked="0"/>
    </xf>
    <xf numFmtId="165" fontId="30" fillId="23" borderId="227" xfId="7" applyNumberFormat="1" applyFont="1" applyFill="1" applyBorder="1" applyProtection="1">
      <protection locked="0"/>
    </xf>
    <xf numFmtId="0" fontId="25" fillId="0" borderId="27" xfId="0" applyFont="1" applyBorder="1" applyProtection="1">
      <protection locked="0"/>
    </xf>
    <xf numFmtId="165" fontId="30" fillId="23" borderId="226" xfId="7" applyNumberFormat="1" applyFont="1" applyFill="1" applyBorder="1" applyProtection="1"/>
    <xf numFmtId="165" fontId="30" fillId="23" borderId="227" xfId="7" applyNumberFormat="1" applyFont="1" applyFill="1" applyBorder="1" applyProtection="1"/>
    <xf numFmtId="0" fontId="32" fillId="0" borderId="24" xfId="4" applyFont="1" applyBorder="1" applyAlignment="1">
      <alignment horizontal="center" vertical="center" wrapText="1"/>
    </xf>
    <xf numFmtId="165" fontId="30" fillId="27" borderId="181" xfId="7" applyNumberFormat="1" applyFont="1" applyFill="1" applyBorder="1" applyProtection="1"/>
    <xf numFmtId="165" fontId="27" fillId="23" borderId="14" xfId="7" applyNumberFormat="1" applyFont="1" applyFill="1" applyBorder="1" applyProtection="1"/>
    <xf numFmtId="165" fontId="27" fillId="24" borderId="13" xfId="7" applyNumberFormat="1" applyFont="1" applyFill="1" applyBorder="1" applyProtection="1"/>
    <xf numFmtId="0" fontId="30" fillId="24" borderId="14" xfId="4" applyFont="1" applyFill="1" applyBorder="1" applyProtection="1">
      <protection locked="0"/>
    </xf>
    <xf numFmtId="0" fontId="30" fillId="24" borderId="16" xfId="4" applyFont="1" applyFill="1" applyBorder="1" applyProtection="1">
      <protection locked="0"/>
    </xf>
    <xf numFmtId="0" fontId="27" fillId="24" borderId="16" xfId="4" applyFont="1" applyFill="1" applyBorder="1" applyAlignment="1" applyProtection="1">
      <alignment horizontal="right"/>
      <protection locked="0"/>
    </xf>
    <xf numFmtId="165" fontId="27" fillId="23" borderId="14" xfId="7" applyNumberFormat="1" applyFont="1" applyFill="1" applyBorder="1" applyProtection="1">
      <protection locked="0"/>
    </xf>
    <xf numFmtId="165" fontId="27" fillId="24" borderId="13" xfId="7" applyNumberFormat="1" applyFont="1" applyFill="1" applyBorder="1" applyProtection="1">
      <protection locked="0"/>
    </xf>
    <xf numFmtId="164" fontId="30" fillId="23" borderId="109" xfId="4" applyNumberFormat="1" applyFont="1" applyFill="1" applyBorder="1" applyProtection="1">
      <protection locked="0"/>
    </xf>
    <xf numFmtId="164" fontId="30" fillId="23" borderId="2" xfId="4" applyNumberFormat="1" applyFont="1" applyFill="1" applyBorder="1" applyProtection="1">
      <protection locked="0"/>
    </xf>
    <xf numFmtId="0" fontId="30" fillId="23" borderId="145" xfId="4" applyFont="1" applyFill="1" applyBorder="1" applyProtection="1">
      <protection locked="0"/>
    </xf>
    <xf numFmtId="176" fontId="3" fillId="0" borderId="4" xfId="0" applyNumberFormat="1" applyFont="1" applyBorder="1"/>
    <xf numFmtId="0" fontId="3" fillId="28" borderId="3" xfId="0" applyFont="1" applyFill="1" applyBorder="1"/>
    <xf numFmtId="9" fontId="0" fillId="21" borderId="66" xfId="0" applyNumberFormat="1" applyFill="1" applyBorder="1" applyProtection="1">
      <protection locked="0"/>
    </xf>
    <xf numFmtId="167" fontId="48" fillId="4" borderId="171" xfId="0" applyNumberFormat="1" applyFont="1" applyFill="1" applyBorder="1" applyProtection="1">
      <protection hidden="1"/>
    </xf>
    <xf numFmtId="0" fontId="15" fillId="0" borderId="7" xfId="0" applyFont="1" applyBorder="1"/>
    <xf numFmtId="0" fontId="25" fillId="0" borderId="27" xfId="0" applyFont="1" applyBorder="1"/>
    <xf numFmtId="10" fontId="55" fillId="16" borderId="68" xfId="5" applyNumberFormat="1" applyFont="1" applyFill="1" applyBorder="1" applyAlignment="1" applyProtection="1">
      <alignment horizontal="center" wrapText="1"/>
    </xf>
    <xf numFmtId="10" fontId="55" fillId="16" borderId="31" xfId="3" applyNumberFormat="1" applyFont="1" applyFill="1" applyBorder="1" applyAlignment="1" applyProtection="1">
      <alignment horizontal="center"/>
    </xf>
    <xf numFmtId="14" fontId="27" fillId="24" borderId="100" xfId="4" applyNumberFormat="1" applyFont="1" applyFill="1" applyBorder="1" applyAlignment="1" applyProtection="1">
      <alignment vertical="center" wrapText="1"/>
      <protection locked="0"/>
    </xf>
    <xf numFmtId="0" fontId="27" fillId="24" borderId="173" xfId="4" applyFont="1" applyFill="1" applyBorder="1" applyAlignment="1" applyProtection="1">
      <alignment horizontal="right" vertical="center" wrapText="1"/>
      <protection locked="0"/>
    </xf>
    <xf numFmtId="0" fontId="27" fillId="0" borderId="0" xfId="4" applyFont="1" applyAlignment="1" applyProtection="1">
      <alignment horizontal="right" vertical="center" wrapText="1"/>
      <protection locked="0"/>
    </xf>
    <xf numFmtId="0" fontId="27" fillId="0" borderId="0" xfId="4" applyFont="1" applyAlignment="1" applyProtection="1">
      <alignment vertical="center" wrapText="1"/>
      <protection locked="0"/>
    </xf>
    <xf numFmtId="0" fontId="27" fillId="24" borderId="21" xfId="4" applyFont="1" applyFill="1" applyBorder="1" applyAlignment="1" applyProtection="1">
      <alignment horizontal="right" vertical="center"/>
      <protection locked="0"/>
    </xf>
    <xf numFmtId="0" fontId="27" fillId="24" borderId="110" xfId="4" applyFont="1" applyFill="1" applyBorder="1" applyAlignment="1" applyProtection="1">
      <alignment horizontal="right" vertical="center" wrapText="1"/>
      <protection locked="0"/>
    </xf>
    <xf numFmtId="1" fontId="27" fillId="24" borderId="111" xfId="4" applyNumberFormat="1" applyFont="1" applyFill="1" applyBorder="1" applyAlignment="1" applyProtection="1">
      <alignment horizontal="center" vertical="center"/>
      <protection locked="0"/>
    </xf>
    <xf numFmtId="1" fontId="27" fillId="0" borderId="0" xfId="4" applyNumberFormat="1" applyFont="1" applyAlignment="1" applyProtection="1">
      <alignment horizontal="center" vertical="center"/>
      <protection locked="0"/>
    </xf>
    <xf numFmtId="0" fontId="26" fillId="0" borderId="0" xfId="4" applyFont="1" applyAlignment="1" applyProtection="1">
      <alignment horizontal="center" vertical="center" wrapText="1"/>
      <protection locked="0"/>
    </xf>
    <xf numFmtId="165" fontId="30" fillId="24" borderId="201" xfId="7" applyNumberFormat="1" applyFont="1" applyFill="1" applyBorder="1" applyAlignment="1" applyProtection="1">
      <alignment horizontal="center" wrapText="1"/>
      <protection locked="0"/>
    </xf>
    <xf numFmtId="165" fontId="30" fillId="24" borderId="202" xfId="7" applyNumberFormat="1" applyFont="1" applyFill="1" applyBorder="1" applyAlignment="1" applyProtection="1">
      <alignment horizontal="center" wrapText="1"/>
      <protection locked="0"/>
    </xf>
    <xf numFmtId="165" fontId="30" fillId="24" borderId="84" xfId="7" applyNumberFormat="1" applyFont="1" applyFill="1" applyBorder="1" applyProtection="1">
      <protection locked="0"/>
    </xf>
    <xf numFmtId="165" fontId="30" fillId="24" borderId="203" xfId="7" applyNumberFormat="1" applyFont="1" applyFill="1" applyBorder="1" applyProtection="1">
      <protection locked="0"/>
    </xf>
    <xf numFmtId="165" fontId="30" fillId="24" borderId="83" xfId="7" applyNumberFormat="1" applyFont="1" applyFill="1" applyBorder="1" applyProtection="1">
      <protection locked="0"/>
    </xf>
    <xf numFmtId="165" fontId="25" fillId="0" borderId="0" xfId="0" applyNumberFormat="1" applyFont="1" applyProtection="1">
      <protection locked="0"/>
    </xf>
    <xf numFmtId="165" fontId="30" fillId="24" borderId="81" xfId="7" applyNumberFormat="1" applyFont="1" applyFill="1" applyBorder="1" applyProtection="1">
      <protection locked="0"/>
    </xf>
    <xf numFmtId="165" fontId="30" fillId="24" borderId="204" xfId="7" applyNumberFormat="1" applyFont="1" applyFill="1" applyBorder="1" applyProtection="1">
      <protection locked="0"/>
    </xf>
    <xf numFmtId="165" fontId="30" fillId="24" borderId="82" xfId="7" applyNumberFormat="1" applyFont="1" applyFill="1" applyBorder="1" applyProtection="1">
      <protection locked="0"/>
    </xf>
    <xf numFmtId="165" fontId="30" fillId="24" borderId="17" xfId="7" applyNumberFormat="1" applyFont="1" applyFill="1" applyBorder="1" applyProtection="1">
      <protection locked="0"/>
    </xf>
    <xf numFmtId="165" fontId="30" fillId="24" borderId="20" xfId="7" applyNumberFormat="1" applyFont="1" applyFill="1" applyBorder="1" applyProtection="1">
      <protection locked="0"/>
    </xf>
    <xf numFmtId="10" fontId="30" fillId="0" borderId="31" xfId="3" applyNumberFormat="1" applyFont="1" applyFill="1" applyBorder="1" applyAlignment="1" applyProtection="1">
      <alignment horizontal="center"/>
      <protection locked="0"/>
    </xf>
    <xf numFmtId="0" fontId="26" fillId="22" borderId="68" xfId="4" applyFont="1" applyFill="1" applyBorder="1" applyAlignment="1" applyProtection="1">
      <alignment horizontal="center" wrapText="1"/>
      <protection locked="0"/>
    </xf>
    <xf numFmtId="9" fontId="26" fillId="22" borderId="219" xfId="6" applyFont="1" applyFill="1" applyBorder="1" applyAlignment="1" applyProtection="1">
      <alignment horizontal="center"/>
      <protection locked="0"/>
    </xf>
    <xf numFmtId="9" fontId="26" fillId="22" borderId="57" xfId="6" applyFont="1" applyFill="1" applyBorder="1" applyAlignment="1" applyProtection="1">
      <alignment horizontal="center"/>
      <protection locked="0"/>
    </xf>
    <xf numFmtId="165" fontId="30" fillId="0" borderId="220" xfId="7" applyNumberFormat="1" applyFont="1" applyFill="1" applyBorder="1" applyProtection="1">
      <protection locked="0"/>
    </xf>
    <xf numFmtId="165" fontId="30" fillId="0" borderId="168" xfId="7" applyNumberFormat="1" applyFont="1" applyFill="1" applyBorder="1" applyProtection="1">
      <protection locked="0"/>
    </xf>
    <xf numFmtId="165" fontId="30" fillId="0" borderId="36" xfId="7" applyNumberFormat="1" applyFont="1" applyFill="1" applyBorder="1" applyProtection="1">
      <protection locked="0"/>
    </xf>
    <xf numFmtId="165" fontId="30" fillId="0" borderId="5" xfId="7" applyNumberFormat="1" applyFont="1" applyFill="1" applyBorder="1" applyProtection="1">
      <protection locked="0"/>
    </xf>
    <xf numFmtId="165" fontId="30" fillId="0" borderId="11" xfId="7" applyNumberFormat="1" applyFont="1" applyFill="1" applyBorder="1" applyProtection="1">
      <protection locked="0"/>
    </xf>
    <xf numFmtId="165" fontId="30" fillId="0" borderId="35" xfId="7" applyNumberFormat="1" applyFont="1" applyFill="1" applyBorder="1" applyProtection="1">
      <protection locked="0"/>
    </xf>
    <xf numFmtId="0" fontId="27" fillId="24" borderId="234" xfId="4" applyFont="1" applyFill="1" applyBorder="1" applyAlignment="1" applyProtection="1">
      <alignment horizontal="center"/>
      <protection locked="0"/>
    </xf>
    <xf numFmtId="49" fontId="33" fillId="0" borderId="0" xfId="0" applyNumberFormat="1" applyFont="1"/>
    <xf numFmtId="0" fontId="35" fillId="0" borderId="0" xfId="0" applyFont="1"/>
    <xf numFmtId="0" fontId="27" fillId="24" borderId="99" xfId="4" applyFont="1" applyFill="1" applyBorder="1" applyAlignment="1">
      <alignment horizontal="right" vertical="center"/>
    </xf>
    <xf numFmtId="14" fontId="27" fillId="24" borderId="100" xfId="4" applyNumberFormat="1" applyFont="1" applyFill="1" applyBorder="1" applyAlignment="1">
      <alignment vertical="center" wrapText="1"/>
    </xf>
    <xf numFmtId="0" fontId="25" fillId="0" borderId="0" xfId="0" applyFont="1" applyAlignment="1">
      <alignment vertical="center"/>
    </xf>
    <xf numFmtId="0" fontId="27" fillId="24" borderId="101" xfId="4" applyFont="1" applyFill="1" applyBorder="1" applyAlignment="1">
      <alignment horizontal="right" vertical="center" wrapText="1"/>
    </xf>
    <xf numFmtId="14" fontId="27" fillId="24" borderId="63" xfId="4" applyNumberFormat="1" applyFont="1" applyFill="1" applyBorder="1" applyAlignment="1">
      <alignment vertical="center" wrapText="1"/>
    </xf>
    <xf numFmtId="0" fontId="27" fillId="24" borderId="173" xfId="4" applyFont="1" applyFill="1" applyBorder="1" applyAlignment="1">
      <alignment horizontal="right" vertical="center" wrapText="1"/>
    </xf>
    <xf numFmtId="0" fontId="27" fillId="24" borderId="175" xfId="4" applyFont="1" applyFill="1" applyBorder="1" applyAlignment="1">
      <alignment horizontal="right" vertical="center"/>
    </xf>
    <xf numFmtId="1" fontId="27" fillId="24" borderId="27" xfId="4" applyNumberFormat="1" applyFont="1" applyFill="1" applyBorder="1" applyAlignment="1">
      <alignment horizontal="left" vertical="center"/>
    </xf>
    <xf numFmtId="0" fontId="35" fillId="0" borderId="0" xfId="0" applyFont="1" applyAlignment="1">
      <alignment vertical="center"/>
    </xf>
    <xf numFmtId="0" fontId="27" fillId="0" borderId="0" xfId="4" applyFont="1" applyAlignment="1">
      <alignment horizontal="right" vertical="center" wrapText="1"/>
    </xf>
    <xf numFmtId="0" fontId="27" fillId="0" borderId="0" xfId="4" applyFont="1" applyAlignment="1">
      <alignment horizontal="left" vertical="center" wrapText="1"/>
    </xf>
    <xf numFmtId="0" fontId="27" fillId="0" borderId="0" xfId="4" applyFont="1" applyAlignment="1">
      <alignment horizontal="right" vertical="center"/>
    </xf>
    <xf numFmtId="1" fontId="29" fillId="0" borderId="0" xfId="4" applyNumberFormat="1" applyFont="1" applyAlignment="1">
      <alignment horizontal="left" vertical="center"/>
    </xf>
    <xf numFmtId="0" fontId="26" fillId="0" borderId="0" xfId="4" applyFont="1" applyAlignment="1">
      <alignment horizontal="left" vertical="center" wrapText="1"/>
    </xf>
    <xf numFmtId="0" fontId="26" fillId="5" borderId="0" xfId="4" applyFont="1" applyFill="1"/>
    <xf numFmtId="49" fontId="31" fillId="0" borderId="28" xfId="0" applyNumberFormat="1" applyFont="1" applyBorder="1"/>
    <xf numFmtId="10" fontId="26" fillId="22" borderId="68" xfId="5" applyNumberFormat="1" applyFont="1" applyFill="1" applyBorder="1" applyAlignment="1" applyProtection="1">
      <alignment horizontal="center" wrapText="1"/>
    </xf>
    <xf numFmtId="10" fontId="26" fillId="22" borderId="64" xfId="5" applyNumberFormat="1" applyFont="1" applyFill="1" applyBorder="1" applyAlignment="1" applyProtection="1">
      <alignment horizontal="center" wrapText="1"/>
    </xf>
    <xf numFmtId="165" fontId="26" fillId="22" borderId="103" xfId="7" applyNumberFormat="1" applyFont="1" applyFill="1" applyBorder="1" applyAlignment="1" applyProtection="1">
      <alignment horizontal="center" wrapText="1"/>
    </xf>
    <xf numFmtId="165" fontId="26" fillId="22" borderId="67" xfId="7" applyNumberFormat="1" applyFont="1" applyFill="1" applyBorder="1" applyAlignment="1" applyProtection="1">
      <alignment horizontal="center" wrapText="1"/>
    </xf>
    <xf numFmtId="165" fontId="26" fillId="22" borderId="107" xfId="7" applyNumberFormat="1" applyFont="1" applyFill="1" applyBorder="1" applyAlignment="1" applyProtection="1">
      <alignment horizontal="center" wrapText="1"/>
    </xf>
    <xf numFmtId="0" fontId="30" fillId="0" borderId="29" xfId="4" applyFont="1" applyBorder="1" applyAlignment="1">
      <alignment horizontal="center" vertical="center"/>
    </xf>
    <xf numFmtId="0" fontId="30" fillId="0" borderId="214" xfId="4" applyFont="1" applyBorder="1" applyAlignment="1">
      <alignment horizontal="left"/>
    </xf>
    <xf numFmtId="2" fontId="30" fillId="0" borderId="41" xfId="6" applyNumberFormat="1" applyFont="1" applyFill="1" applyBorder="1" applyAlignment="1" applyProtection="1">
      <alignment horizontal="center"/>
    </xf>
    <xf numFmtId="165" fontId="26" fillId="22" borderId="162" xfId="7" applyNumberFormat="1" applyFont="1" applyFill="1" applyBorder="1" applyProtection="1"/>
    <xf numFmtId="165" fontId="26" fillId="22" borderId="8" xfId="7" applyNumberFormat="1" applyFont="1" applyFill="1" applyBorder="1" applyProtection="1"/>
    <xf numFmtId="9" fontId="26" fillId="22" borderId="106" xfId="7" applyNumberFormat="1" applyFont="1" applyFill="1" applyBorder="1" applyProtection="1"/>
    <xf numFmtId="0" fontId="30" fillId="0" borderId="40" xfId="4" applyFont="1" applyBorder="1" applyAlignment="1">
      <alignment horizontal="center"/>
    </xf>
    <xf numFmtId="0" fontId="30" fillId="5" borderId="214" xfId="4" applyFont="1" applyFill="1" applyBorder="1" applyAlignment="1">
      <alignment horizontal="left"/>
    </xf>
    <xf numFmtId="2" fontId="30" fillId="2" borderId="31" xfId="6" applyNumberFormat="1" applyFont="1" applyFill="1" applyBorder="1" applyAlignment="1" applyProtection="1">
      <alignment horizontal="center"/>
    </xf>
    <xf numFmtId="0" fontId="30" fillId="5" borderId="214" xfId="4" applyFont="1" applyFill="1" applyBorder="1"/>
    <xf numFmtId="2" fontId="30" fillId="2" borderId="10" xfId="6" applyNumberFormat="1" applyFont="1" applyFill="1" applyBorder="1" applyAlignment="1" applyProtection="1">
      <alignment horizontal="center"/>
    </xf>
    <xf numFmtId="2" fontId="30" fillId="2" borderId="38" xfId="6" applyNumberFormat="1" applyFont="1" applyFill="1" applyBorder="1" applyAlignment="1" applyProtection="1">
      <alignment horizontal="center"/>
    </xf>
    <xf numFmtId="2" fontId="30" fillId="2" borderId="36" xfId="6" applyNumberFormat="1" applyFont="1" applyFill="1" applyBorder="1" applyAlignment="1" applyProtection="1">
      <alignment horizontal="center"/>
    </xf>
    <xf numFmtId="0" fontId="30" fillId="0" borderId="170" xfId="4" applyFont="1" applyBorder="1" applyAlignment="1">
      <alignment horizontal="center"/>
    </xf>
    <xf numFmtId="0" fontId="30" fillId="5" borderId="215" xfId="4" applyFont="1" applyFill="1" applyBorder="1"/>
    <xf numFmtId="2" fontId="30" fillId="2" borderId="43" xfId="6" applyNumberFormat="1" applyFont="1" applyFill="1" applyBorder="1" applyAlignment="1" applyProtection="1">
      <alignment horizontal="center"/>
    </xf>
    <xf numFmtId="165" fontId="30" fillId="0" borderId="43" xfId="7" applyNumberFormat="1" applyFont="1" applyFill="1" applyBorder="1" applyProtection="1"/>
    <xf numFmtId="165" fontId="26" fillId="23" borderId="164" xfId="7" applyNumberFormat="1" applyFont="1" applyFill="1" applyBorder="1" applyProtection="1"/>
    <xf numFmtId="165" fontId="26" fillId="23" borderId="179" xfId="7" applyNumberFormat="1" applyFont="1" applyFill="1" applyBorder="1" applyProtection="1"/>
    <xf numFmtId="165" fontId="26" fillId="22" borderId="180" xfId="7" applyNumberFormat="1" applyFont="1" applyFill="1" applyBorder="1" applyProtection="1"/>
    <xf numFmtId="9" fontId="55" fillId="16" borderId="44" xfId="6" applyFont="1" applyFill="1" applyBorder="1" applyAlignment="1" applyProtection="1">
      <alignment horizontal="center" wrapText="1"/>
    </xf>
    <xf numFmtId="164" fontId="26" fillId="22" borderId="44" xfId="4" applyNumberFormat="1" applyFont="1" applyFill="1" applyBorder="1" applyAlignment="1">
      <alignment horizontal="center"/>
    </xf>
    <xf numFmtId="164" fontId="26" fillId="22" borderId="44" xfId="4" applyNumberFormat="1" applyFont="1" applyFill="1" applyBorder="1" applyAlignment="1">
      <alignment horizontal="center" wrapText="1"/>
    </xf>
    <xf numFmtId="0" fontId="26" fillId="22" borderId="54" xfId="4" applyFont="1" applyFill="1" applyBorder="1" applyAlignment="1">
      <alignment horizontal="center"/>
    </xf>
    <xf numFmtId="165" fontId="26" fillId="22" borderId="105" xfId="7" applyNumberFormat="1" applyFont="1" applyFill="1" applyBorder="1" applyAlignment="1" applyProtection="1">
      <alignment horizontal="center" wrapText="1"/>
    </xf>
    <xf numFmtId="165" fontId="26" fillId="23" borderId="181" xfId="7" applyNumberFormat="1" applyFont="1" applyFill="1" applyBorder="1" applyProtection="1"/>
    <xf numFmtId="2" fontId="30" fillId="2" borderId="48" xfId="6" applyNumberFormat="1" applyFont="1" applyFill="1" applyBorder="1" applyAlignment="1" applyProtection="1">
      <alignment horizontal="center"/>
    </xf>
    <xf numFmtId="175" fontId="55" fillId="16" borderId="48" xfId="6" applyNumberFormat="1" applyFont="1" applyFill="1" applyBorder="1" applyAlignment="1" applyProtection="1">
      <alignment horizontal="center"/>
    </xf>
    <xf numFmtId="165" fontId="30" fillId="0" borderId="8" xfId="7" applyNumberFormat="1" applyFont="1" applyBorder="1" applyProtection="1"/>
    <xf numFmtId="165" fontId="26" fillId="23" borderId="165" xfId="7" applyNumberFormat="1" applyFont="1" applyFill="1" applyBorder="1" applyProtection="1"/>
    <xf numFmtId="165" fontId="26" fillId="22" borderId="166" xfId="7" applyNumberFormat="1" applyFont="1" applyFill="1" applyBorder="1" applyProtection="1"/>
    <xf numFmtId="0" fontId="26" fillId="5" borderId="0" xfId="4" applyFont="1" applyFill="1" applyAlignment="1">
      <alignment vertical="center"/>
    </xf>
    <xf numFmtId="0" fontId="26" fillId="22" borderId="203" xfId="4" applyFont="1" applyFill="1" applyBorder="1" applyAlignment="1">
      <alignment horizontal="center" wrapText="1"/>
    </xf>
    <xf numFmtId="164" fontId="26" fillId="22" borderId="68" xfId="4" applyNumberFormat="1" applyFont="1" applyFill="1" applyBorder="1" applyAlignment="1">
      <alignment horizontal="center" wrapText="1"/>
    </xf>
    <xf numFmtId="0" fontId="26" fillId="22" borderId="64" xfId="4" applyFont="1" applyFill="1" applyBorder="1" applyAlignment="1">
      <alignment horizontal="center"/>
    </xf>
    <xf numFmtId="165" fontId="26" fillId="22" borderId="87" xfId="7" applyNumberFormat="1" applyFont="1" applyFill="1" applyBorder="1" applyAlignment="1" applyProtection="1">
      <alignment horizontal="center" wrapText="1"/>
    </xf>
    <xf numFmtId="166" fontId="30" fillId="0" borderId="209" xfId="6" applyNumberFormat="1" applyFont="1" applyFill="1" applyBorder="1" applyAlignment="1" applyProtection="1">
      <alignment horizontal="center" wrapText="1"/>
    </xf>
    <xf numFmtId="165" fontId="30" fillId="5" borderId="36" xfId="7" applyNumberFormat="1" applyFont="1" applyFill="1" applyBorder="1" applyProtection="1"/>
    <xf numFmtId="165" fontId="26" fillId="22" borderId="86" xfId="7" applyNumberFormat="1" applyFont="1" applyFill="1" applyBorder="1" applyProtection="1"/>
    <xf numFmtId="166" fontId="30" fillId="0" borderId="43" xfId="6" applyNumberFormat="1" applyFont="1" applyFill="1" applyBorder="1" applyAlignment="1" applyProtection="1">
      <alignment horizontal="center" wrapText="1"/>
    </xf>
    <xf numFmtId="166" fontId="30" fillId="0" borderId="31" xfId="6" applyNumberFormat="1" applyFont="1" applyFill="1" applyBorder="1" applyAlignment="1" applyProtection="1">
      <alignment horizontal="center" wrapText="1"/>
    </xf>
    <xf numFmtId="166" fontId="30" fillId="0" borderId="8" xfId="6" applyNumberFormat="1" applyFont="1" applyBorder="1" applyAlignment="1" applyProtection="1">
      <alignment horizontal="center"/>
    </xf>
    <xf numFmtId="165" fontId="30" fillId="5" borderId="8" xfId="7" applyNumberFormat="1" applyFont="1" applyFill="1" applyBorder="1" applyProtection="1"/>
    <xf numFmtId="9" fontId="26" fillId="22" borderId="62" xfId="6" applyFont="1" applyFill="1" applyBorder="1" applyAlignment="1" applyProtection="1">
      <alignment horizontal="center"/>
    </xf>
    <xf numFmtId="9" fontId="26" fillId="22" borderId="59" xfId="6" applyFont="1" applyFill="1" applyBorder="1" applyAlignment="1" applyProtection="1">
      <alignment horizontal="center"/>
    </xf>
    <xf numFmtId="165" fontId="26" fillId="22" borderId="88" xfId="7" applyNumberFormat="1" applyFont="1" applyFill="1" applyBorder="1" applyAlignment="1" applyProtection="1">
      <alignment horizontal="center"/>
    </xf>
    <xf numFmtId="165" fontId="26" fillId="22" borderId="66" xfId="7" applyNumberFormat="1" applyFont="1" applyFill="1" applyBorder="1" applyAlignment="1" applyProtection="1">
      <alignment horizontal="center"/>
    </xf>
    <xf numFmtId="165" fontId="26" fillId="22" borderId="107" xfId="7" applyNumberFormat="1" applyFont="1" applyFill="1" applyBorder="1" applyAlignment="1" applyProtection="1">
      <alignment horizontal="center"/>
    </xf>
    <xf numFmtId="165" fontId="30" fillId="5" borderId="41" xfId="7" applyNumberFormat="1" applyFont="1" applyFill="1" applyBorder="1" applyProtection="1"/>
    <xf numFmtId="165" fontId="30" fillId="5" borderId="43" xfId="7" applyNumberFormat="1" applyFont="1" applyFill="1" applyBorder="1" applyProtection="1"/>
    <xf numFmtId="0" fontId="26" fillId="0" borderId="57" xfId="4" applyFont="1" applyBorder="1"/>
    <xf numFmtId="0" fontId="27" fillId="24" borderId="195" xfId="4" applyFont="1" applyFill="1" applyBorder="1" applyAlignment="1">
      <alignment horizontal="center"/>
    </xf>
    <xf numFmtId="165" fontId="30" fillId="0" borderId="9" xfId="7" applyNumberFormat="1" applyFont="1" applyFill="1" applyBorder="1" applyProtection="1"/>
    <xf numFmtId="165" fontId="30" fillId="0" borderId="32" xfId="7" applyNumberFormat="1" applyFont="1" applyFill="1" applyBorder="1" applyProtection="1"/>
    <xf numFmtId="0" fontId="27" fillId="24" borderId="185" xfId="4" applyFont="1" applyFill="1" applyBorder="1" applyAlignment="1">
      <alignment horizontal="center"/>
    </xf>
    <xf numFmtId="0" fontId="44" fillId="0" borderId="0" xfId="0" applyFont="1"/>
    <xf numFmtId="0" fontId="30" fillId="0" borderId="0" xfId="4" applyFont="1"/>
    <xf numFmtId="0" fontId="30" fillId="23" borderId="145" xfId="4" applyFont="1" applyFill="1" applyBorder="1" applyAlignment="1">
      <alignment horizontal="right"/>
    </xf>
    <xf numFmtId="10" fontId="27" fillId="0" borderId="13" xfId="4" applyNumberFormat="1" applyFont="1" applyBorder="1" applyAlignment="1">
      <alignment horizontal="center"/>
    </xf>
    <xf numFmtId="164" fontId="30" fillId="23" borderId="109" xfId="4" applyNumberFormat="1" applyFont="1" applyFill="1" applyBorder="1"/>
    <xf numFmtId="0" fontId="30" fillId="23" borderId="2" xfId="4" applyFont="1" applyFill="1" applyBorder="1"/>
    <xf numFmtId="164" fontId="30" fillId="23" borderId="2" xfId="4" applyNumberFormat="1" applyFont="1" applyFill="1" applyBorder="1"/>
    <xf numFmtId="0" fontId="30" fillId="23" borderId="145" xfId="4" applyFont="1" applyFill="1" applyBorder="1"/>
    <xf numFmtId="164" fontId="26" fillId="0" borderId="0" xfId="4" applyNumberFormat="1" applyFont="1"/>
    <xf numFmtId="49" fontId="27" fillId="0" borderId="0" xfId="4" applyNumberFormat="1" applyFont="1"/>
    <xf numFmtId="0" fontId="30" fillId="24" borderId="14" xfId="4" applyFont="1" applyFill="1" applyBorder="1"/>
    <xf numFmtId="0" fontId="30" fillId="24" borderId="16" xfId="4" applyFont="1" applyFill="1" applyBorder="1"/>
    <xf numFmtId="0" fontId="27" fillId="24" borderId="16" xfId="4" applyFont="1" applyFill="1" applyBorder="1" applyAlignment="1">
      <alignment horizontal="right"/>
    </xf>
    <xf numFmtId="0" fontId="30" fillId="0" borderId="0" xfId="4" applyFont="1" applyAlignment="1">
      <alignment horizontal="center" vertical="top" wrapText="1"/>
    </xf>
    <xf numFmtId="164" fontId="30" fillId="0" borderId="0" xfId="4" applyNumberFormat="1" applyFont="1"/>
    <xf numFmtId="0" fontId="26" fillId="0" borderId="0" xfId="4" applyFont="1"/>
    <xf numFmtId="49" fontId="30" fillId="0" borderId="0" xfId="4" applyNumberFormat="1" applyFont="1"/>
    <xf numFmtId="0" fontId="38" fillId="0" borderId="0" xfId="0" applyFont="1"/>
    <xf numFmtId="0" fontId="27" fillId="0" borderId="0" xfId="4" applyFont="1" applyAlignment="1">
      <alignment vertical="center" wrapText="1"/>
    </xf>
    <xf numFmtId="49" fontId="31" fillId="0" borderId="35" xfId="0" applyNumberFormat="1" applyFont="1" applyBorder="1"/>
    <xf numFmtId="0" fontId="30" fillId="0" borderId="183" xfId="4" applyFont="1" applyBorder="1" applyAlignment="1">
      <alignment horizontal="center" vertical="center"/>
    </xf>
    <xf numFmtId="0" fontId="30" fillId="0" borderId="30" xfId="4" applyFont="1" applyBorder="1" applyAlignment="1">
      <alignment horizontal="left" vertical="center"/>
    </xf>
    <xf numFmtId="0" fontId="26" fillId="5" borderId="0" xfId="4" applyFont="1" applyFill="1" applyAlignment="1">
      <alignment horizontal="left"/>
    </xf>
    <xf numFmtId="175" fontId="55" fillId="16" borderId="48" xfId="3" applyNumberFormat="1" applyFont="1" applyFill="1" applyBorder="1" applyAlignment="1" applyProtection="1">
      <alignment horizontal="center"/>
    </xf>
    <xf numFmtId="165" fontId="26" fillId="22" borderId="163" xfId="7" applyNumberFormat="1" applyFont="1" applyFill="1" applyBorder="1" applyAlignment="1" applyProtection="1">
      <alignment horizontal="center"/>
    </xf>
    <xf numFmtId="165" fontId="26" fillId="22" borderId="97" xfId="7" applyNumberFormat="1" applyFont="1" applyFill="1" applyBorder="1" applyProtection="1"/>
    <xf numFmtId="165" fontId="26" fillId="22" borderId="147" xfId="7" applyNumberFormat="1" applyFont="1" applyFill="1" applyBorder="1" applyProtection="1"/>
    <xf numFmtId="9" fontId="26" fillId="22" borderId="161" xfId="7" applyNumberFormat="1" applyFont="1" applyFill="1" applyBorder="1" applyProtection="1"/>
    <xf numFmtId="0" fontId="26" fillId="25" borderId="181" xfId="0" applyFont="1" applyFill="1" applyBorder="1"/>
    <xf numFmtId="0" fontId="26" fillId="25" borderId="165" xfId="0" applyFont="1" applyFill="1" applyBorder="1"/>
    <xf numFmtId="0" fontId="26" fillId="26" borderId="166" xfId="0" applyFont="1" applyFill="1" applyBorder="1"/>
    <xf numFmtId="0" fontId="26" fillId="0" borderId="0" xfId="4" applyFont="1" applyAlignment="1">
      <alignment horizontal="left"/>
    </xf>
    <xf numFmtId="165" fontId="30" fillId="23" borderId="16" xfId="7" applyNumberFormat="1" applyFont="1" applyFill="1" applyBorder="1" applyProtection="1"/>
    <xf numFmtId="6" fontId="56" fillId="0" borderId="0" xfId="0" applyNumberFormat="1" applyFont="1"/>
    <xf numFmtId="44" fontId="30" fillId="0" borderId="41" xfId="2" applyFont="1" applyFill="1" applyBorder="1" applyProtection="1"/>
    <xf numFmtId="165" fontId="30" fillId="0" borderId="41" xfId="2" applyNumberFormat="1" applyFont="1" applyFill="1" applyBorder="1" applyProtection="1"/>
    <xf numFmtId="49" fontId="31" fillId="0" borderId="34" xfId="0" applyNumberFormat="1" applyFont="1" applyBorder="1" applyAlignment="1" applyProtection="1">
      <alignment horizontal="center"/>
      <protection locked="0"/>
    </xf>
    <xf numFmtId="0" fontId="30" fillId="5" borderId="183" xfId="4" applyFont="1" applyFill="1" applyBorder="1" applyAlignment="1">
      <alignment horizontal="center" vertical="center"/>
    </xf>
    <xf numFmtId="0" fontId="30" fillId="5" borderId="184" xfId="4" applyFont="1" applyFill="1" applyBorder="1" applyAlignment="1">
      <alignment horizontal="center" vertical="center"/>
    </xf>
    <xf numFmtId="49" fontId="31" fillId="0" borderId="248" xfId="0" applyNumberFormat="1" applyFont="1" applyBorder="1" applyAlignment="1">
      <alignment horizontal="center"/>
    </xf>
    <xf numFmtId="49" fontId="31" fillId="0" borderId="249" xfId="0" applyNumberFormat="1" applyFont="1" applyBorder="1" applyAlignment="1">
      <alignment horizontal="center"/>
    </xf>
    <xf numFmtId="49" fontId="27" fillId="5" borderId="9" xfId="4" applyNumberFormat="1" applyFont="1" applyFill="1" applyBorder="1" applyAlignment="1">
      <alignment horizontal="center"/>
    </xf>
    <xf numFmtId="49" fontId="27" fillId="5" borderId="0" xfId="4" applyNumberFormat="1" applyFont="1" applyFill="1" applyAlignment="1">
      <alignment horizontal="center"/>
    </xf>
    <xf numFmtId="165" fontId="26" fillId="17" borderId="214" xfId="4" applyNumberFormat="1" applyFont="1" applyFill="1" applyBorder="1" applyAlignment="1">
      <alignment horizontal="left"/>
    </xf>
    <xf numFmtId="165" fontId="30" fillId="0" borderId="138" xfId="7" applyNumberFormat="1" applyFont="1" applyFill="1" applyBorder="1" applyProtection="1"/>
    <xf numFmtId="165" fontId="30" fillId="0" borderId="258" xfId="7" applyNumberFormat="1" applyFont="1" applyFill="1" applyBorder="1" applyProtection="1">
      <protection locked="0"/>
    </xf>
    <xf numFmtId="165" fontId="30" fillId="0" borderId="136" xfId="7" applyNumberFormat="1" applyFont="1" applyFill="1" applyBorder="1" applyProtection="1">
      <protection locked="0"/>
    </xf>
    <xf numFmtId="165" fontId="30" fillId="0" borderId="259" xfId="7" applyNumberFormat="1" applyFont="1" applyFill="1" applyBorder="1" applyProtection="1">
      <protection locked="0"/>
    </xf>
    <xf numFmtId="165" fontId="30" fillId="23" borderId="13" xfId="7" applyNumberFormat="1" applyFont="1" applyFill="1" applyBorder="1" applyProtection="1"/>
    <xf numFmtId="165" fontId="26" fillId="17" borderId="218" xfId="4" applyNumberFormat="1" applyFont="1" applyFill="1" applyBorder="1" applyAlignment="1">
      <alignment horizontal="left"/>
    </xf>
    <xf numFmtId="165" fontId="30" fillId="24" borderId="13" xfId="7" applyNumberFormat="1" applyFont="1" applyFill="1" applyBorder="1" applyProtection="1">
      <protection locked="0"/>
    </xf>
    <xf numFmtId="165" fontId="30" fillId="23" borderId="13" xfId="7" applyNumberFormat="1" applyFont="1" applyFill="1" applyBorder="1" applyProtection="1">
      <protection locked="0"/>
    </xf>
    <xf numFmtId="165" fontId="25" fillId="24" borderId="151" xfId="0" applyNumberFormat="1" applyFont="1" applyFill="1" applyBorder="1"/>
    <xf numFmtId="165" fontId="26" fillId="23" borderId="85" xfId="7" applyNumberFormat="1" applyFont="1" applyFill="1" applyBorder="1" applyProtection="1"/>
    <xf numFmtId="49" fontId="31" fillId="0" borderId="34" xfId="0" applyNumberFormat="1" applyFont="1" applyBorder="1" applyAlignment="1">
      <alignment horizontal="center" wrapText="1"/>
    </xf>
    <xf numFmtId="49" fontId="31" fillId="0" borderId="35" xfId="0" applyNumberFormat="1" applyFont="1" applyBorder="1" applyAlignment="1">
      <alignment horizontal="center" wrapText="1"/>
    </xf>
    <xf numFmtId="0" fontId="34" fillId="22" borderId="167" xfId="0" applyFont="1" applyFill="1" applyBorder="1" applyAlignment="1">
      <alignment horizontal="center" vertical="center"/>
    </xf>
    <xf numFmtId="0" fontId="34" fillId="0" borderId="0" xfId="0" applyFont="1" applyAlignment="1">
      <alignment horizontal="center" vertical="center"/>
    </xf>
    <xf numFmtId="0" fontId="26" fillId="22" borderId="135" xfId="4" applyFont="1" applyFill="1" applyBorder="1" applyAlignment="1">
      <alignment horizontal="center"/>
    </xf>
    <xf numFmtId="2" fontId="30" fillId="2" borderId="264" xfId="6" applyNumberFormat="1" applyFont="1" applyFill="1" applyBorder="1" applyAlignment="1" applyProtection="1">
      <alignment horizontal="center"/>
    </xf>
    <xf numFmtId="175" fontId="55" fillId="16" borderId="11" xfId="6" applyNumberFormat="1" applyFont="1" applyFill="1" applyBorder="1" applyAlignment="1" applyProtection="1">
      <alignment horizontal="center"/>
    </xf>
    <xf numFmtId="165" fontId="30" fillId="0" borderId="5" xfId="7" applyNumberFormat="1" applyFont="1" applyBorder="1" applyProtection="1"/>
    <xf numFmtId="165" fontId="30" fillId="2" borderId="5" xfId="7" applyNumberFormat="1" applyFont="1" applyFill="1" applyBorder="1" applyProtection="1"/>
    <xf numFmtId="165" fontId="30" fillId="2" borderId="265" xfId="7" applyNumberFormat="1" applyFont="1" applyFill="1" applyBorder="1" applyProtection="1"/>
    <xf numFmtId="175" fontId="55" fillId="16" borderId="11" xfId="3" applyNumberFormat="1" applyFont="1" applyFill="1" applyBorder="1" applyAlignment="1" applyProtection="1">
      <alignment horizontal="center"/>
    </xf>
    <xf numFmtId="165" fontId="30" fillId="0" borderId="5" xfId="7" applyNumberFormat="1" applyFont="1" applyFill="1" applyBorder="1" applyProtection="1"/>
    <xf numFmtId="165" fontId="30" fillId="24" borderId="97" xfId="7" applyNumberFormat="1" applyFont="1" applyFill="1" applyBorder="1" applyProtection="1"/>
    <xf numFmtId="165" fontId="30" fillId="24" borderId="147" xfId="7" applyNumberFormat="1" applyFont="1" applyFill="1" applyBorder="1" applyProtection="1"/>
    <xf numFmtId="165" fontId="30" fillId="24" borderId="161" xfId="7" applyNumberFormat="1" applyFont="1" applyFill="1" applyBorder="1" applyProtection="1"/>
    <xf numFmtId="0" fontId="15" fillId="0" borderId="11" xfId="0" applyFont="1" applyBorder="1" applyAlignment="1">
      <alignment horizontal="center"/>
    </xf>
    <xf numFmtId="0" fontId="14" fillId="0" borderId="0" xfId="0" applyFont="1" applyAlignment="1">
      <alignment horizontal="left" wrapText="1"/>
    </xf>
    <xf numFmtId="0" fontId="14" fillId="0" borderId="0" xfId="0" applyFont="1" applyAlignment="1">
      <alignment wrapText="1"/>
    </xf>
    <xf numFmtId="9" fontId="26" fillId="22" borderId="269" xfId="6" applyFont="1" applyFill="1" applyBorder="1" applyAlignment="1" applyProtection="1">
      <alignment horizontal="center"/>
      <protection locked="0"/>
    </xf>
    <xf numFmtId="165" fontId="30" fillId="0" borderId="10" xfId="7" applyNumberFormat="1" applyFont="1" applyFill="1" applyBorder="1" applyProtection="1">
      <protection locked="0"/>
    </xf>
    <xf numFmtId="10" fontId="55" fillId="16" borderId="48" xfId="6" applyNumberFormat="1" applyFont="1" applyFill="1" applyBorder="1" applyAlignment="1" applyProtection="1">
      <alignment horizontal="center"/>
    </xf>
    <xf numFmtId="10" fontId="55" fillId="16" borderId="11" xfId="6" applyNumberFormat="1" applyFont="1" applyFill="1" applyBorder="1" applyAlignment="1" applyProtection="1">
      <alignment horizontal="center"/>
    </xf>
    <xf numFmtId="0" fontId="52" fillId="17" borderId="0" xfId="0" applyFont="1" applyFill="1" applyAlignment="1">
      <alignment horizontal="left" vertical="top"/>
    </xf>
    <xf numFmtId="0" fontId="52" fillId="17" borderId="0" xfId="0" applyFont="1" applyFill="1" applyAlignment="1">
      <alignment horizontal="left"/>
    </xf>
    <xf numFmtId="43" fontId="2" fillId="17" borderId="116" xfId="0" applyNumberFormat="1" applyFont="1" applyFill="1" applyBorder="1"/>
    <xf numFmtId="164" fontId="21" fillId="0" borderId="0" xfId="9" applyNumberFormat="1" applyFont="1" applyFill="1" applyBorder="1" applyAlignment="1">
      <alignment horizontal="right"/>
    </xf>
    <xf numFmtId="2" fontId="8" fillId="0" borderId="83" xfId="9" quotePrefix="1" applyNumberFormat="1" applyFont="1" applyBorder="1" applyAlignment="1">
      <alignment horizontal="center" vertical="center" wrapText="1"/>
    </xf>
    <xf numFmtId="0" fontId="8" fillId="0" borderId="83" xfId="9" applyNumberFormat="1" applyFont="1" applyBorder="1" applyAlignment="1">
      <alignment horizontal="center" wrapText="1"/>
    </xf>
    <xf numFmtId="0" fontId="8" fillId="0" borderId="0" xfId="8" applyFont="1" applyAlignment="1">
      <alignment horizontal="center" wrapText="1"/>
    </xf>
    <xf numFmtId="10" fontId="2" fillId="22" borderId="118" xfId="0" applyNumberFormat="1" applyFont="1" applyFill="1" applyBorder="1" applyAlignment="1">
      <alignment horizontal="right" vertical="top"/>
    </xf>
    <xf numFmtId="10" fontId="2" fillId="22" borderId="118" xfId="0" applyNumberFormat="1" applyFont="1" applyFill="1" applyBorder="1" applyAlignment="1">
      <alignment horizontal="right"/>
    </xf>
    <xf numFmtId="170" fontId="63" fillId="0" borderId="0" xfId="0" applyNumberFormat="1" applyFont="1" applyAlignment="1">
      <alignment horizontal="center" vertical="center" wrapText="1"/>
    </xf>
    <xf numFmtId="0" fontId="24" fillId="0" borderId="0" xfId="0" applyFont="1" applyAlignment="1">
      <alignment horizontal="center" vertical="center"/>
    </xf>
    <xf numFmtId="0" fontId="10" fillId="0" borderId="117" xfId="0" applyFont="1" applyBorder="1" applyAlignment="1">
      <alignment horizontal="center" vertical="center" wrapText="1"/>
    </xf>
    <xf numFmtId="0" fontId="10" fillId="0" borderId="80" xfId="0" applyFont="1" applyBorder="1" applyAlignment="1">
      <alignment horizontal="center" vertical="center" wrapText="1"/>
    </xf>
    <xf numFmtId="0" fontId="8" fillId="0" borderId="0" xfId="8" applyFont="1" applyAlignment="1">
      <alignment horizontal="center" vertical="center"/>
    </xf>
    <xf numFmtId="0" fontId="8" fillId="0" borderId="83" xfId="8" applyFont="1" applyBorder="1" applyAlignment="1">
      <alignment horizontal="center" vertical="center"/>
    </xf>
    <xf numFmtId="43" fontId="8" fillId="0" borderId="82" xfId="8" applyNumberFormat="1" applyFont="1" applyBorder="1" applyAlignment="1">
      <alignment horizontal="center" wrapText="1"/>
    </xf>
    <xf numFmtId="43" fontId="8" fillId="0" borderId="116" xfId="8" applyNumberFormat="1" applyFont="1" applyBorder="1" applyAlignment="1">
      <alignment horizontal="center" wrapText="1"/>
    </xf>
    <xf numFmtId="0" fontId="6" fillId="0" borderId="71" xfId="0" applyFont="1" applyBorder="1" applyAlignment="1">
      <alignment horizontal="center" vertical="center" wrapText="1"/>
    </xf>
    <xf numFmtId="170" fontId="22" fillId="24" borderId="78" xfId="0" applyNumberFormat="1" applyFont="1" applyFill="1" applyBorder="1" applyAlignment="1">
      <alignment horizontal="center" vertical="center" wrapText="1"/>
    </xf>
    <xf numFmtId="171" fontId="22" fillId="24" borderId="78" xfId="0" applyNumberFormat="1" applyFont="1" applyFill="1" applyBorder="1" applyAlignment="1">
      <alignment horizontal="center" vertical="center" wrapText="1"/>
    </xf>
    <xf numFmtId="0" fontId="9" fillId="24" borderId="70" xfId="0" applyFont="1" applyFill="1" applyBorder="1" applyAlignment="1">
      <alignment horizontal="center" vertical="center"/>
    </xf>
    <xf numFmtId="0" fontId="6" fillId="0" borderId="70" xfId="0" applyFont="1" applyBorder="1" applyAlignment="1">
      <alignment horizontal="center" vertical="center"/>
    </xf>
    <xf numFmtId="170" fontId="23" fillId="24" borderId="84" xfId="0" applyNumberFormat="1" applyFont="1" applyFill="1" applyBorder="1" applyAlignment="1">
      <alignment horizontal="center" vertical="center" wrapText="1"/>
    </xf>
    <xf numFmtId="0" fontId="5" fillId="24" borderId="81" xfId="0" applyFont="1" applyFill="1" applyBorder="1" applyAlignment="1">
      <alignment horizontal="center" vertical="center" wrapText="1"/>
    </xf>
    <xf numFmtId="0" fontId="11" fillId="0" borderId="0" xfId="0" applyFont="1" applyAlignment="1">
      <alignment horizontal="center" wrapText="1"/>
    </xf>
    <xf numFmtId="0" fontId="8" fillId="0" borderId="0" xfId="8" applyFont="1" applyAlignment="1">
      <alignment horizontal="center"/>
    </xf>
    <xf numFmtId="2" fontId="10" fillId="0" borderId="83" xfId="0" applyNumberFormat="1" applyFont="1" applyBorder="1" applyAlignment="1">
      <alignment horizontal="center" vertical="center" wrapText="1"/>
    </xf>
    <xf numFmtId="0" fontId="10" fillId="0" borderId="83" xfId="0" applyFont="1" applyBorder="1" applyAlignment="1">
      <alignment horizontal="center" vertical="center" wrapText="1"/>
    </xf>
    <xf numFmtId="0" fontId="10" fillId="0" borderId="116" xfId="0" applyFont="1" applyBorder="1" applyAlignment="1">
      <alignment horizontal="center" vertical="center"/>
    </xf>
    <xf numFmtId="0" fontId="10" fillId="0" borderId="82" xfId="0" applyFont="1" applyBorder="1" applyAlignment="1">
      <alignment horizontal="center" vertical="center"/>
    </xf>
    <xf numFmtId="0" fontId="8" fillId="0" borderId="45" xfId="8" applyFont="1" applyBorder="1" applyAlignment="1">
      <alignment vertical="center" wrapText="1"/>
    </xf>
    <xf numFmtId="2" fontId="8" fillId="0" borderId="85" xfId="3" applyNumberFormat="1" applyFont="1" applyFill="1" applyBorder="1" applyAlignment="1">
      <alignment horizontal="center" vertical="center" wrapText="1"/>
    </xf>
    <xf numFmtId="2" fontId="8" fillId="0" borderId="171" xfId="3" applyNumberFormat="1" applyFont="1" applyFill="1" applyBorder="1" applyAlignment="1">
      <alignment horizontal="center" vertical="center" wrapText="1"/>
    </xf>
    <xf numFmtId="0" fontId="8" fillId="0" borderId="0" xfId="8" applyFont="1" applyAlignment="1">
      <alignment vertical="center" wrapText="1"/>
    </xf>
    <xf numFmtId="10" fontId="1" fillId="0" borderId="84" xfId="3" applyNumberFormat="1" applyFont="1" applyBorder="1" applyAlignment="1">
      <alignment horizontal="right"/>
    </xf>
    <xf numFmtId="0" fontId="0" fillId="0" borderId="83" xfId="0" applyBorder="1" applyAlignment="1">
      <alignment horizontal="center"/>
    </xf>
    <xf numFmtId="0" fontId="8" fillId="0" borderId="117" xfId="8" applyFont="1" applyBorder="1" applyAlignment="1">
      <alignment wrapText="1"/>
    </xf>
    <xf numFmtId="0" fontId="8" fillId="0" borderId="27" xfId="8" applyFont="1" applyBorder="1" applyAlignment="1">
      <alignment wrapText="1"/>
    </xf>
    <xf numFmtId="0" fontId="8" fillId="0" borderId="23" xfId="8" applyFont="1" applyBorder="1" applyAlignment="1">
      <alignment wrapText="1"/>
    </xf>
    <xf numFmtId="0" fontId="8" fillId="0" borderId="0" xfId="8" applyFont="1" applyAlignment="1">
      <alignment wrapText="1"/>
    </xf>
    <xf numFmtId="0" fontId="8" fillId="0" borderId="27" xfId="8" applyFont="1" applyBorder="1" applyAlignment="1">
      <alignment vertical="center" wrapText="1"/>
    </xf>
    <xf numFmtId="10" fontId="5" fillId="22" borderId="15" xfId="8" applyNumberFormat="1" applyFont="1" applyFill="1" applyBorder="1" applyAlignment="1">
      <alignment horizontal="center" vertical="center" wrapText="1"/>
    </xf>
    <xf numFmtId="10" fontId="0" fillId="22" borderId="68" xfId="0" applyNumberFormat="1" applyFill="1" applyBorder="1"/>
    <xf numFmtId="0" fontId="0" fillId="24" borderId="66" xfId="0" applyFill="1" applyBorder="1" applyAlignment="1">
      <alignment horizontal="center"/>
    </xf>
    <xf numFmtId="164" fontId="26" fillId="24" borderId="66" xfId="4" applyNumberFormat="1" applyFont="1" applyFill="1" applyBorder="1" applyAlignment="1">
      <alignment horizontal="center" wrapText="1"/>
    </xf>
    <xf numFmtId="165" fontId="30" fillId="3" borderId="283" xfId="7" applyNumberFormat="1" applyFont="1" applyFill="1" applyBorder="1" applyAlignment="1" applyProtection="1"/>
    <xf numFmtId="9" fontId="26" fillId="24" borderId="284" xfId="6" applyFont="1" applyFill="1" applyBorder="1" applyAlignment="1" applyProtection="1">
      <alignment horizontal="center" wrapText="1"/>
    </xf>
    <xf numFmtId="0" fontId="6" fillId="24" borderId="13" xfId="0" applyFont="1" applyFill="1" applyBorder="1" applyAlignment="1">
      <alignment horizontal="center" vertical="center" wrapText="1"/>
    </xf>
    <xf numFmtId="165" fontId="30" fillId="24" borderId="281" xfId="7" applyNumberFormat="1" applyFont="1" applyFill="1" applyBorder="1" applyProtection="1"/>
    <xf numFmtId="0" fontId="27" fillId="24" borderId="234" xfId="4" applyFont="1" applyFill="1" applyBorder="1" applyAlignment="1">
      <alignment horizontal="center"/>
    </xf>
    <xf numFmtId="165" fontId="30" fillId="24" borderId="286" xfId="7" applyNumberFormat="1" applyFont="1" applyFill="1" applyBorder="1" applyProtection="1"/>
    <xf numFmtId="165" fontId="30" fillId="24" borderId="19" xfId="7" applyNumberFormat="1" applyFont="1" applyFill="1" applyBorder="1" applyProtection="1"/>
    <xf numFmtId="0" fontId="54" fillId="41" borderId="9" xfId="0" applyFont="1" applyFill="1" applyBorder="1" applyAlignment="1">
      <alignment horizontal="center"/>
    </xf>
    <xf numFmtId="0" fontId="54" fillId="41" borderId="0" xfId="0" applyFont="1" applyFill="1" applyAlignment="1">
      <alignment horizontal="center"/>
    </xf>
    <xf numFmtId="0" fontId="54" fillId="41" borderId="0" xfId="0" applyFont="1" applyFill="1"/>
    <xf numFmtId="0" fontId="54" fillId="41" borderId="10" xfId="0" applyFont="1" applyFill="1" applyBorder="1"/>
    <xf numFmtId="0" fontId="54" fillId="41" borderId="9" xfId="0" applyFont="1" applyFill="1" applyBorder="1"/>
    <xf numFmtId="0" fontId="54" fillId="42" borderId="9" xfId="0" applyFont="1" applyFill="1" applyBorder="1" applyAlignment="1">
      <alignment horizontal="center"/>
    </xf>
    <xf numFmtId="0" fontId="54" fillId="42" borderId="0" xfId="0" applyFont="1" applyFill="1" applyAlignment="1">
      <alignment horizontal="center"/>
    </xf>
    <xf numFmtId="0" fontId="54" fillId="42" borderId="0" xfId="0" applyFont="1" applyFill="1"/>
    <xf numFmtId="0" fontId="54" fillId="42" borderId="10" xfId="0" applyFont="1" applyFill="1" applyBorder="1"/>
    <xf numFmtId="0" fontId="54" fillId="43" borderId="6" xfId="0" applyFont="1" applyFill="1" applyBorder="1" applyAlignment="1">
      <alignment horizontal="center"/>
    </xf>
    <xf numFmtId="0" fontId="54" fillId="43" borderId="7" xfId="0" applyFont="1" applyFill="1" applyBorder="1" applyAlignment="1">
      <alignment horizontal="center"/>
    </xf>
    <xf numFmtId="0" fontId="54" fillId="43" borderId="7" xfId="0" applyFont="1" applyFill="1" applyBorder="1"/>
    <xf numFmtId="0" fontId="54" fillId="43" borderId="11" xfId="0" applyFont="1" applyFill="1" applyBorder="1"/>
    <xf numFmtId="0" fontId="8" fillId="0" borderId="0" xfId="9" applyNumberFormat="1" applyFont="1" applyBorder="1" applyAlignment="1">
      <alignment horizontal="center" vertical="center" wrapText="1"/>
    </xf>
    <xf numFmtId="165" fontId="26" fillId="17" borderId="260" xfId="4" applyNumberFormat="1" applyFont="1" applyFill="1" applyBorder="1" applyAlignment="1">
      <alignment horizontal="left"/>
    </xf>
    <xf numFmtId="0" fontId="67" fillId="0" borderId="0" xfId="0" applyFont="1" applyAlignment="1">
      <alignment horizontal="center"/>
    </xf>
    <xf numFmtId="0" fontId="67" fillId="0" borderId="0" xfId="0" applyFont="1"/>
    <xf numFmtId="0" fontId="54" fillId="29" borderId="0" xfId="0" applyFont="1" applyFill="1" applyAlignment="1">
      <alignment horizontal="center"/>
    </xf>
    <xf numFmtId="0" fontId="54" fillId="29" borderId="0" xfId="0" applyFont="1" applyFill="1"/>
    <xf numFmtId="0" fontId="54" fillId="30" borderId="0" xfId="0" applyFont="1" applyFill="1" applyAlignment="1">
      <alignment horizontal="center"/>
    </xf>
    <xf numFmtId="0" fontId="54" fillId="30" borderId="0" xfId="0" applyFont="1" applyFill="1"/>
    <xf numFmtId="0" fontId="68" fillId="31" borderId="0" xfId="0" applyFont="1" applyFill="1" applyAlignment="1">
      <alignment horizontal="center"/>
    </xf>
    <xf numFmtId="0" fontId="68" fillId="31" borderId="0" xfId="0" applyFont="1" applyFill="1"/>
    <xf numFmtId="0" fontId="68" fillId="32" borderId="0" xfId="0" applyFont="1" applyFill="1" applyAlignment="1">
      <alignment horizontal="center"/>
    </xf>
    <xf numFmtId="0" fontId="68" fillId="32" borderId="0" xfId="0" applyFont="1" applyFill="1"/>
    <xf numFmtId="0" fontId="54" fillId="33" borderId="0" xfId="0" applyFont="1" applyFill="1" applyAlignment="1">
      <alignment horizontal="center"/>
    </xf>
    <xf numFmtId="0" fontId="54" fillId="33" borderId="0" xfId="0" applyFont="1" applyFill="1"/>
    <xf numFmtId="0" fontId="54" fillId="34" borderId="0" xfId="0" applyFont="1" applyFill="1" applyAlignment="1">
      <alignment horizontal="center"/>
    </xf>
    <xf numFmtId="0" fontId="54" fillId="34" borderId="0" xfId="0" applyFont="1" applyFill="1"/>
    <xf numFmtId="0" fontId="54" fillId="35" borderId="0" xfId="0" applyFont="1" applyFill="1" applyAlignment="1">
      <alignment horizontal="center"/>
    </xf>
    <xf numFmtId="0" fontId="54" fillId="35" borderId="0" xfId="0" applyFont="1" applyFill="1"/>
    <xf numFmtId="0" fontId="68" fillId="36" borderId="0" xfId="0" applyFont="1" applyFill="1" applyAlignment="1">
      <alignment horizontal="center"/>
    </xf>
    <xf numFmtId="0" fontId="68" fillId="36" borderId="0" xfId="0" applyFont="1" applyFill="1"/>
    <xf numFmtId="0" fontId="54" fillId="37" borderId="0" xfId="0" applyFont="1" applyFill="1" applyAlignment="1">
      <alignment horizontal="center"/>
    </xf>
    <xf numFmtId="0" fontId="69" fillId="37" borderId="0" xfId="0" applyFont="1" applyFill="1" applyAlignment="1">
      <alignment horizontal="center"/>
    </xf>
    <xf numFmtId="0" fontId="69" fillId="37" borderId="0" xfId="0" applyFont="1" applyFill="1"/>
    <xf numFmtId="0" fontId="54" fillId="37" borderId="0" xfId="0" applyFont="1" applyFill="1" applyAlignment="1">
      <alignment horizontal="left"/>
    </xf>
    <xf numFmtId="0" fontId="54" fillId="38" borderId="0" xfId="0" applyFont="1" applyFill="1" applyAlignment="1">
      <alignment horizontal="center"/>
    </xf>
    <xf numFmtId="0" fontId="54" fillId="38" borderId="0" xfId="0" applyFont="1" applyFill="1"/>
    <xf numFmtId="0" fontId="54" fillId="39" borderId="0" xfId="0" applyFont="1" applyFill="1" applyAlignment="1">
      <alignment horizontal="center"/>
    </xf>
    <xf numFmtId="0" fontId="54" fillId="39" borderId="0" xfId="0" applyFont="1" applyFill="1"/>
    <xf numFmtId="0" fontId="68" fillId="40" borderId="0" xfId="0" applyFont="1" applyFill="1" applyAlignment="1">
      <alignment horizontal="center"/>
    </xf>
    <xf numFmtId="0" fontId="68" fillId="40" borderId="0" xfId="0" applyFont="1" applyFill="1"/>
    <xf numFmtId="0" fontId="54" fillId="43" borderId="0" xfId="0" applyFont="1" applyFill="1" applyAlignment="1">
      <alignment horizontal="center"/>
    </xf>
    <xf numFmtId="0" fontId="54" fillId="43" borderId="0" xfId="0" applyFont="1" applyFill="1"/>
    <xf numFmtId="49" fontId="31" fillId="0" borderId="0" xfId="0" applyNumberFormat="1" applyFont="1" applyAlignment="1">
      <alignment horizontal="center" wrapText="1"/>
    </xf>
    <xf numFmtId="49" fontId="31" fillId="0" borderId="35" xfId="0" applyNumberFormat="1" applyFont="1" applyBorder="1" applyAlignment="1" applyProtection="1">
      <alignment horizontal="center" wrapText="1"/>
      <protection locked="0"/>
    </xf>
    <xf numFmtId="14" fontId="27" fillId="24" borderId="63" xfId="4" applyNumberFormat="1" applyFont="1" applyFill="1" applyBorder="1" applyAlignment="1" applyProtection="1">
      <alignment vertical="center" wrapText="1"/>
      <protection locked="0"/>
    </xf>
    <xf numFmtId="0" fontId="10" fillId="0" borderId="79" xfId="0" applyFont="1" applyBorder="1" applyAlignment="1">
      <alignment horizontal="center" vertical="center" wrapText="1"/>
    </xf>
    <xf numFmtId="171" fontId="63" fillId="0" borderId="0" xfId="0" applyNumberFormat="1" applyFont="1" applyAlignment="1">
      <alignment horizontal="center" vertical="center" wrapText="1"/>
    </xf>
    <xf numFmtId="2" fontId="8" fillId="0" borderId="69" xfId="9" applyNumberFormat="1" applyFont="1" applyFill="1" applyBorder="1" applyAlignment="1">
      <alignment horizontal="center" vertical="center"/>
    </xf>
    <xf numFmtId="2" fontId="0" fillId="0" borderId="116" xfId="0" applyNumberFormat="1" applyBorder="1" applyAlignment="1">
      <alignment horizontal="right"/>
    </xf>
    <xf numFmtId="0" fontId="8" fillId="0" borderId="116" xfId="0" applyFont="1" applyBorder="1" applyAlignment="1">
      <alignment horizontal="center" vertical="center" wrapText="1"/>
    </xf>
    <xf numFmtId="170" fontId="11" fillId="0" borderId="117" xfId="0" applyNumberFormat="1" applyFont="1" applyBorder="1" applyAlignment="1">
      <alignment horizontal="center" vertical="center" wrapText="1"/>
    </xf>
    <xf numFmtId="6" fontId="56" fillId="22" borderId="13" xfId="0" applyNumberFormat="1" applyFont="1" applyFill="1" applyBorder="1" applyAlignment="1">
      <alignment horizontal="center"/>
    </xf>
    <xf numFmtId="6" fontId="56" fillId="22" borderId="19" xfId="0" applyNumberFormat="1" applyFont="1" applyFill="1" applyBorder="1" applyAlignment="1">
      <alignment horizontal="center"/>
    </xf>
    <xf numFmtId="168" fontId="2" fillId="22" borderId="45" xfId="0" applyNumberFormat="1" applyFont="1" applyFill="1" applyBorder="1" applyAlignment="1">
      <alignment horizontal="center" vertical="center"/>
    </xf>
    <xf numFmtId="10" fontId="0" fillId="22" borderId="203" xfId="0" applyNumberFormat="1" applyFill="1" applyBorder="1" applyAlignment="1">
      <alignment horizontal="center"/>
    </xf>
    <xf numFmtId="0" fontId="3" fillId="44" borderId="3" xfId="0" applyFont="1" applyFill="1" applyBorder="1"/>
    <xf numFmtId="0" fontId="64" fillId="0" borderId="23" xfId="0" applyFont="1" applyBorder="1" applyAlignment="1">
      <alignment horizontal="center" vertical="center" wrapText="1"/>
    </xf>
    <xf numFmtId="2" fontId="30" fillId="0" borderId="31" xfId="6" applyNumberFormat="1" applyFont="1" applyBorder="1" applyAlignment="1" applyProtection="1">
      <alignment horizontal="center"/>
      <protection locked="0"/>
    </xf>
    <xf numFmtId="2" fontId="30" fillId="0" borderId="43" xfId="6" applyNumberFormat="1" applyFont="1" applyBorder="1" applyAlignment="1" applyProtection="1">
      <alignment horizontal="center"/>
      <protection locked="0"/>
    </xf>
    <xf numFmtId="49" fontId="27" fillId="24" borderId="109" xfId="4" applyNumberFormat="1" applyFont="1" applyFill="1" applyBorder="1" applyAlignment="1">
      <alignment vertical="center" wrapText="1"/>
    </xf>
    <xf numFmtId="165" fontId="30" fillId="0" borderId="160" xfId="7" applyNumberFormat="1" applyFont="1" applyBorder="1" applyProtection="1">
      <protection locked="0"/>
    </xf>
    <xf numFmtId="165" fontId="30" fillId="0" borderId="138" xfId="7" applyNumberFormat="1" applyFont="1" applyBorder="1" applyProtection="1">
      <protection locked="0"/>
    </xf>
    <xf numFmtId="165" fontId="30" fillId="0" borderId="137" xfId="7" applyNumberFormat="1" applyFont="1" applyBorder="1" applyProtection="1">
      <protection locked="0"/>
    </xf>
    <xf numFmtId="0" fontId="45" fillId="17" borderId="79" xfId="0" applyFont="1" applyFill="1" applyBorder="1"/>
    <xf numFmtId="0" fontId="45" fillId="17" borderId="80" xfId="0" applyFont="1" applyFill="1" applyBorder="1"/>
    <xf numFmtId="0" fontId="45" fillId="17" borderId="21" xfId="0" applyFont="1" applyFill="1" applyBorder="1"/>
    <xf numFmtId="0" fontId="45" fillId="17" borderId="18" xfId="0" applyFont="1" applyFill="1" applyBorder="1"/>
    <xf numFmtId="0" fontId="45" fillId="17" borderId="84" xfId="0" applyFont="1" applyFill="1" applyBorder="1"/>
    <xf numFmtId="0" fontId="45" fillId="17" borderId="83" xfId="0" applyFont="1" applyFill="1" applyBorder="1"/>
    <xf numFmtId="0" fontId="45" fillId="17" borderId="24" xfId="0" applyFont="1" applyFill="1" applyBorder="1"/>
    <xf numFmtId="0" fontId="45" fillId="17" borderId="26" xfId="0" applyFont="1" applyFill="1" applyBorder="1"/>
    <xf numFmtId="0" fontId="45" fillId="17" borderId="81" xfId="0" applyFont="1" applyFill="1" applyBorder="1"/>
    <xf numFmtId="0" fontId="45" fillId="17" borderId="82" xfId="0" applyFont="1" applyFill="1" applyBorder="1"/>
    <xf numFmtId="0" fontId="45" fillId="17" borderId="17" xfId="0" applyFont="1" applyFill="1" applyBorder="1"/>
    <xf numFmtId="0" fontId="45" fillId="17" borderId="20" xfId="0" applyFont="1" applyFill="1" applyBorder="1"/>
    <xf numFmtId="0" fontId="70" fillId="0" borderId="214" xfId="4" applyFont="1" applyBorder="1" applyAlignment="1">
      <alignment horizontal="center" vertical="center"/>
    </xf>
    <xf numFmtId="0" fontId="70" fillId="0" borderId="37" xfId="4" applyFont="1" applyBorder="1" applyAlignment="1">
      <alignment horizontal="center"/>
    </xf>
    <xf numFmtId="0" fontId="70" fillId="0" borderId="33" xfId="4" applyFont="1" applyBorder="1" applyAlignment="1">
      <alignment horizontal="center"/>
    </xf>
    <xf numFmtId="0" fontId="42" fillId="0" borderId="0" xfId="0" applyFont="1" applyAlignment="1">
      <alignment horizontal="left"/>
    </xf>
    <xf numFmtId="165" fontId="30" fillId="0" borderId="321" xfId="7" applyNumberFormat="1" applyFont="1" applyFill="1" applyBorder="1" applyProtection="1"/>
    <xf numFmtId="0" fontId="16" fillId="24" borderId="322" xfId="0" applyFont="1" applyFill="1" applyBorder="1" applyAlignment="1">
      <alignment vertical="center"/>
    </xf>
    <xf numFmtId="0" fontId="15" fillId="0" borderId="324" xfId="0" applyFont="1" applyBorder="1" applyAlignment="1">
      <alignment wrapText="1"/>
    </xf>
    <xf numFmtId="0" fontId="15" fillId="0" borderId="325" xfId="0" applyFont="1" applyBorder="1" applyAlignment="1">
      <alignment horizontal="center"/>
    </xf>
    <xf numFmtId="0" fontId="15" fillId="0" borderId="325" xfId="0" applyFont="1" applyBorder="1"/>
    <xf numFmtId="0" fontId="15" fillId="0" borderId="324" xfId="0" applyFont="1" applyBorder="1"/>
    <xf numFmtId="0" fontId="48" fillId="4" borderId="69" xfId="0" applyFont="1" applyFill="1" applyBorder="1" applyAlignment="1">
      <alignment horizontal="right" wrapText="1"/>
    </xf>
    <xf numFmtId="0" fontId="42" fillId="17" borderId="0" xfId="0" applyFont="1" applyFill="1" applyAlignment="1">
      <alignment horizontal="right" wrapText="1"/>
    </xf>
    <xf numFmtId="43" fontId="42" fillId="19" borderId="66" xfId="0" applyNumberFormat="1" applyFont="1" applyFill="1" applyBorder="1" applyProtection="1">
      <protection locked="0"/>
    </xf>
    <xf numFmtId="0" fontId="0" fillId="17" borderId="270" xfId="0" applyFill="1" applyBorder="1" applyAlignment="1">
      <alignment horizontal="right" wrapText="1"/>
    </xf>
    <xf numFmtId="0" fontId="45" fillId="17" borderId="0" xfId="0" applyFont="1" applyFill="1"/>
    <xf numFmtId="0" fontId="70" fillId="0" borderId="29" xfId="4" applyFont="1" applyBorder="1" applyAlignment="1">
      <alignment horizontal="center" vertical="center"/>
    </xf>
    <xf numFmtId="0" fontId="70" fillId="0" borderId="29" xfId="4" applyFont="1" applyBorder="1" applyAlignment="1" applyProtection="1">
      <alignment horizontal="center" vertical="center"/>
      <protection locked="0"/>
    </xf>
    <xf numFmtId="165" fontId="30" fillId="2" borderId="326" xfId="7" applyNumberFormat="1" applyFont="1" applyFill="1" applyBorder="1" applyProtection="1"/>
    <xf numFmtId="43" fontId="45" fillId="0" borderId="0" xfId="0" applyNumberFormat="1" applyFont="1" applyProtection="1">
      <protection locked="0"/>
    </xf>
    <xf numFmtId="165" fontId="30" fillId="2" borderId="44" xfId="7" applyNumberFormat="1" applyFont="1" applyFill="1" applyBorder="1" applyProtection="1"/>
    <xf numFmtId="0" fontId="0" fillId="0" borderId="0" xfId="0" applyAlignment="1">
      <alignment horizontal="left"/>
    </xf>
    <xf numFmtId="42" fontId="56" fillId="22" borderId="13" xfId="0" applyNumberFormat="1" applyFont="1" applyFill="1" applyBorder="1" applyAlignment="1">
      <alignment horizontal="center"/>
    </xf>
    <xf numFmtId="0" fontId="43" fillId="0" borderId="0" xfId="0" applyFont="1"/>
    <xf numFmtId="0" fontId="16" fillId="0" borderId="79" xfId="0" applyFont="1" applyBorder="1" applyAlignment="1">
      <alignment horizontal="center" vertical="center" wrapText="1"/>
    </xf>
    <xf numFmtId="0" fontId="16" fillId="0" borderId="80" xfId="0" applyFont="1" applyBorder="1" applyAlignment="1">
      <alignment horizontal="center" vertical="center" wrapText="1"/>
    </xf>
    <xf numFmtId="0" fontId="0" fillId="0" borderId="0" xfId="0" applyAlignment="1">
      <alignment vertical="center" wrapText="1"/>
    </xf>
    <xf numFmtId="0" fontId="40" fillId="0" borderId="0" xfId="0" applyFont="1"/>
    <xf numFmtId="167" fontId="0" fillId="0" borderId="0" xfId="1" applyNumberFormat="1" applyFont="1" applyAlignment="1">
      <alignment wrapText="1"/>
    </xf>
    <xf numFmtId="177" fontId="0" fillId="0" borderId="17" xfId="0" applyNumberFormat="1" applyBorder="1"/>
    <xf numFmtId="0" fontId="0" fillId="0" borderId="20" xfId="0" applyBorder="1"/>
    <xf numFmtId="0" fontId="42" fillId="0" borderId="0" xfId="0" applyFont="1"/>
    <xf numFmtId="0" fontId="0" fillId="16" borderId="338" xfId="0" applyFill="1" applyBorder="1" applyAlignment="1">
      <alignment horizontal="right" indent="1"/>
    </xf>
    <xf numFmtId="0" fontId="0" fillId="16" borderId="339" xfId="0" applyFill="1" applyBorder="1" applyAlignment="1">
      <alignment horizontal="right" indent="1"/>
    </xf>
    <xf numFmtId="0" fontId="0" fillId="16" borderId="340" xfId="0" applyFill="1" applyBorder="1" applyAlignment="1">
      <alignment horizontal="right" indent="1"/>
    </xf>
    <xf numFmtId="0" fontId="0" fillId="16" borderId="341" xfId="0" applyFill="1" applyBorder="1" applyAlignment="1">
      <alignment horizontal="right" indent="1"/>
    </xf>
    <xf numFmtId="0" fontId="0" fillId="16" borderId="342" xfId="0" applyFill="1" applyBorder="1" applyAlignment="1">
      <alignment horizontal="right" indent="1"/>
    </xf>
    <xf numFmtId="0" fontId="0" fillId="16" borderId="343" xfId="0" applyFill="1" applyBorder="1" applyAlignment="1">
      <alignment horizontal="right" indent="1"/>
    </xf>
    <xf numFmtId="0" fontId="0" fillId="0" borderId="9" xfId="0" applyBorder="1" applyAlignment="1">
      <alignment horizontal="right"/>
    </xf>
    <xf numFmtId="0" fontId="0" fillId="0" borderId="6" xfId="0" applyBorder="1" applyAlignment="1">
      <alignment horizontal="right"/>
    </xf>
    <xf numFmtId="0" fontId="0" fillId="0" borderId="9" xfId="0" applyBorder="1"/>
    <xf numFmtId="0" fontId="0" fillId="0" borderId="6" xfId="0" applyBorder="1"/>
    <xf numFmtId="0" fontId="0" fillId="16" borderId="327" xfId="0" applyFill="1" applyBorder="1" applyAlignment="1">
      <alignment horizontal="right"/>
    </xf>
    <xf numFmtId="0" fontId="0" fillId="16" borderId="328" xfId="0" applyFill="1" applyBorder="1" applyAlignment="1">
      <alignment horizontal="center" vertical="center"/>
    </xf>
    <xf numFmtId="0" fontId="0" fillId="16" borderId="329" xfId="0" applyFill="1" applyBorder="1" applyAlignment="1">
      <alignment horizontal="center" vertical="center"/>
    </xf>
    <xf numFmtId="0" fontId="2" fillId="16" borderId="283" xfId="0" applyFont="1" applyFill="1" applyBorder="1"/>
    <xf numFmtId="0" fontId="0" fillId="16" borderId="349" xfId="0" applyFill="1" applyBorder="1" applyAlignment="1">
      <alignment horizontal="right" indent="1"/>
    </xf>
    <xf numFmtId="14" fontId="0" fillId="22" borderId="7" xfId="0" applyNumberFormat="1" applyFill="1" applyBorder="1" applyAlignment="1">
      <alignment horizontal="center" vertical="center"/>
    </xf>
    <xf numFmtId="0" fontId="0" fillId="22" borderId="7" xfId="0" applyFill="1" applyBorder="1" applyAlignment="1">
      <alignment horizontal="center" vertical="center"/>
    </xf>
    <xf numFmtId="2" fontId="15" fillId="0" borderId="325" xfId="0" applyNumberFormat="1" applyFont="1" applyBorder="1"/>
    <xf numFmtId="2" fontId="15" fillId="0" borderId="11" xfId="0" applyNumberFormat="1" applyFont="1" applyBorder="1"/>
    <xf numFmtId="0" fontId="15" fillId="0" borderId="66" xfId="0" applyFont="1" applyBorder="1"/>
    <xf numFmtId="0" fontId="15" fillId="0" borderId="360" xfId="0" applyFont="1" applyBorder="1" applyAlignment="1">
      <alignment wrapText="1"/>
    </xf>
    <xf numFmtId="0" fontId="15" fillId="0" borderId="0" xfId="0" applyFont="1" applyAlignment="1">
      <alignment horizontal="center"/>
    </xf>
    <xf numFmtId="0" fontId="8" fillId="0" borderId="0" xfId="8" applyFont="1" applyAlignment="1">
      <alignment horizontal="center" vertical="center" wrapText="1"/>
    </xf>
    <xf numFmtId="0" fontId="8" fillId="0" borderId="0" xfId="8" applyFont="1" applyAlignment="1">
      <alignment horizontal="left" vertical="center" wrapText="1"/>
    </xf>
    <xf numFmtId="0" fontId="10" fillId="0" borderId="0" xfId="0" applyFont="1" applyAlignment="1">
      <alignment horizontal="center" vertical="center" wrapText="1"/>
    </xf>
    <xf numFmtId="165" fontId="0" fillId="0" borderId="0" xfId="2" applyNumberFormat="1" applyFont="1" applyFill="1" applyBorder="1" applyAlignment="1">
      <alignment vertical="center"/>
    </xf>
    <xf numFmtId="0" fontId="6" fillId="0" borderId="79" xfId="0" applyFont="1" applyBorder="1" applyAlignment="1">
      <alignment horizontal="center" vertical="center" wrapText="1"/>
    </xf>
    <xf numFmtId="0" fontId="6" fillId="0" borderId="81" xfId="0" applyFont="1" applyBorder="1" applyAlignment="1">
      <alignment horizontal="center" vertical="center"/>
    </xf>
    <xf numFmtId="165" fontId="1" fillId="0" borderId="0" xfId="2" applyNumberFormat="1" applyFont="1" applyFill="1" applyBorder="1" applyAlignment="1">
      <alignment vertical="center"/>
    </xf>
    <xf numFmtId="44" fontId="0" fillId="0" borderId="116" xfId="0" applyNumberFormat="1" applyBorder="1" applyAlignment="1">
      <alignment horizontal="center"/>
    </xf>
    <xf numFmtId="165" fontId="0" fillId="22" borderId="78" xfId="2" applyNumberFormat="1" applyFont="1" applyFill="1" applyBorder="1" applyAlignment="1">
      <alignment vertical="center"/>
    </xf>
    <xf numFmtId="44" fontId="0" fillId="22" borderId="70" xfId="0" applyNumberFormat="1" applyFill="1" applyBorder="1" applyAlignment="1">
      <alignment horizontal="center"/>
    </xf>
    <xf numFmtId="0" fontId="10" fillId="0" borderId="0" xfId="0" applyFont="1" applyAlignment="1">
      <alignment horizontal="center" vertical="center"/>
    </xf>
    <xf numFmtId="0" fontId="10" fillId="0" borderId="83" xfId="0" applyFont="1" applyBorder="1" applyAlignment="1">
      <alignment horizontal="center" vertical="center"/>
    </xf>
    <xf numFmtId="0" fontId="8" fillId="0" borderId="116" xfId="8" applyFont="1" applyBorder="1" applyAlignment="1">
      <alignment horizontal="left" vertical="center" wrapText="1"/>
    </xf>
    <xf numFmtId="1" fontId="0" fillId="0" borderId="0" xfId="2" applyNumberFormat="1" applyFont="1" applyFill="1" applyBorder="1" applyAlignment="1">
      <alignment vertical="center"/>
    </xf>
    <xf numFmtId="167" fontId="8" fillId="0" borderId="0" xfId="1" applyNumberFormat="1" applyFont="1" applyFill="1" applyBorder="1" applyAlignment="1">
      <alignment vertical="center" wrapText="1"/>
    </xf>
    <xf numFmtId="167" fontId="8" fillId="0" borderId="83" xfId="1" applyNumberFormat="1" applyFont="1" applyFill="1" applyBorder="1" applyAlignment="1">
      <alignment vertical="center" wrapText="1"/>
    </xf>
    <xf numFmtId="170" fontId="11" fillId="0" borderId="84" xfId="0" applyNumberFormat="1" applyFont="1" applyBorder="1" applyAlignment="1">
      <alignment horizontal="center" vertical="center" wrapText="1"/>
    </xf>
    <xf numFmtId="0" fontId="8" fillId="0" borderId="81" xfId="0" applyFont="1" applyBorder="1" applyAlignment="1">
      <alignment horizontal="center" vertical="center" wrapText="1"/>
    </xf>
    <xf numFmtId="170" fontId="11" fillId="0" borderId="0" xfId="0" applyNumberFormat="1" applyFont="1" applyAlignment="1">
      <alignment horizontal="center" vertical="center" wrapText="1"/>
    </xf>
    <xf numFmtId="0" fontId="10" fillId="0" borderId="84" xfId="0" applyFont="1" applyBorder="1" applyAlignment="1">
      <alignment horizontal="center" vertical="center"/>
    </xf>
    <xf numFmtId="2" fontId="5" fillId="22" borderId="85" xfId="3" applyNumberFormat="1" applyFont="1" applyFill="1" applyBorder="1" applyAlignment="1">
      <alignment horizontal="center" vertical="center" wrapText="1"/>
    </xf>
    <xf numFmtId="0" fontId="64" fillId="0" borderId="71" xfId="0" applyFont="1" applyBorder="1" applyAlignment="1">
      <alignment horizontal="center" vertical="center" wrapText="1"/>
    </xf>
    <xf numFmtId="0" fontId="64" fillId="0" borderId="22" xfId="0" applyFont="1" applyBorder="1" applyAlignment="1">
      <alignment horizontal="center" vertical="center" wrapText="1"/>
    </xf>
    <xf numFmtId="170" fontId="11" fillId="0" borderId="79" xfId="0" applyNumberFormat="1" applyFont="1" applyBorder="1" applyAlignment="1">
      <alignment horizontal="center" vertical="center" wrapText="1"/>
    </xf>
    <xf numFmtId="2" fontId="10" fillId="0" borderId="0" xfId="0" applyNumberFormat="1" applyFont="1" applyAlignment="1">
      <alignment horizontal="center" vertical="center" wrapText="1"/>
    </xf>
    <xf numFmtId="2" fontId="8" fillId="0" borderId="69" xfId="3" applyNumberFormat="1" applyFont="1" applyFill="1" applyBorder="1" applyAlignment="1">
      <alignment horizontal="center" vertical="center" wrapText="1"/>
    </xf>
    <xf numFmtId="0" fontId="8" fillId="0" borderId="116" xfId="8" applyFont="1" applyBorder="1" applyAlignment="1">
      <alignment horizontal="center" vertical="center"/>
    </xf>
    <xf numFmtId="0" fontId="8" fillId="0" borderId="82" xfId="8" applyFont="1" applyBorder="1" applyAlignment="1">
      <alignment horizontal="center" vertical="center"/>
    </xf>
    <xf numFmtId="0" fontId="8" fillId="0" borderId="0" xfId="9" applyNumberFormat="1" applyFont="1" applyBorder="1" applyAlignment="1">
      <alignment horizontal="center"/>
    </xf>
    <xf numFmtId="0" fontId="8" fillId="0" borderId="83" xfId="9" applyNumberFormat="1" applyFont="1" applyBorder="1" applyAlignment="1">
      <alignment horizontal="center"/>
    </xf>
    <xf numFmtId="0" fontId="8" fillId="0" borderId="70" xfId="8" applyFont="1" applyBorder="1" applyAlignment="1">
      <alignment horizontal="center" vertical="center"/>
    </xf>
    <xf numFmtId="2" fontId="8" fillId="0" borderId="85" xfId="9" applyNumberFormat="1" applyFont="1" applyFill="1" applyBorder="1" applyAlignment="1">
      <alignment horizontal="center" vertical="center"/>
    </xf>
    <xf numFmtId="2" fontId="8" fillId="0" borderId="171" xfId="9" applyNumberFormat="1" applyFont="1" applyFill="1" applyBorder="1" applyAlignment="1">
      <alignment horizontal="center" vertical="center"/>
    </xf>
    <xf numFmtId="2" fontId="5" fillId="22" borderId="81" xfId="9" applyNumberFormat="1" applyFont="1" applyFill="1" applyBorder="1" applyAlignment="1">
      <alignment horizontal="center" vertical="center"/>
    </xf>
    <xf numFmtId="1" fontId="0" fillId="0" borderId="377" xfId="0" applyNumberFormat="1" applyBorder="1" applyAlignment="1">
      <alignment horizontal="center"/>
    </xf>
    <xf numFmtId="1" fontId="0" fillId="0" borderId="378" xfId="0" applyNumberFormat="1" applyBorder="1" applyAlignment="1">
      <alignment horizontal="center"/>
    </xf>
    <xf numFmtId="0" fontId="0" fillId="16" borderId="380" xfId="0" applyFill="1" applyBorder="1" applyAlignment="1">
      <alignment horizontal="right" indent="1"/>
    </xf>
    <xf numFmtId="0" fontId="2" fillId="16" borderId="64" xfId="0" applyFont="1" applyFill="1" applyBorder="1" applyAlignment="1">
      <alignment horizontal="center" vertical="center"/>
    </xf>
    <xf numFmtId="0" fontId="2" fillId="16" borderId="399" xfId="0" applyFont="1" applyFill="1" applyBorder="1"/>
    <xf numFmtId="0" fontId="2" fillId="16" borderId="405" xfId="0" applyFont="1" applyFill="1" applyBorder="1"/>
    <xf numFmtId="0" fontId="0" fillId="17" borderId="384" xfId="0" applyFill="1" applyBorder="1" applyAlignment="1">
      <alignment horizontal="center" vertical="center"/>
    </xf>
    <xf numFmtId="0" fontId="0" fillId="17" borderId="410" xfId="0" applyFill="1" applyBorder="1" applyAlignment="1">
      <alignment horizontal="center" vertical="center"/>
    </xf>
    <xf numFmtId="0" fontId="0" fillId="0" borderId="415" xfId="0" applyBorder="1" applyAlignment="1">
      <alignment vertical="center" wrapText="1"/>
    </xf>
    <xf numFmtId="0" fontId="0" fillId="0" borderId="416" xfId="0" applyBorder="1" applyAlignment="1">
      <alignment vertical="center" wrapText="1"/>
    </xf>
    <xf numFmtId="0" fontId="0" fillId="0" borderId="417" xfId="0" applyBorder="1" applyAlignment="1">
      <alignment vertical="center" wrapText="1"/>
    </xf>
    <xf numFmtId="0" fontId="0" fillId="0" borderId="400" xfId="0" applyBorder="1" applyAlignment="1">
      <alignment vertical="center" wrapText="1"/>
    </xf>
    <xf numFmtId="0" fontId="0" fillId="0" borderId="7" xfId="0" applyBorder="1" applyAlignment="1">
      <alignment vertical="center" wrapText="1"/>
    </xf>
    <xf numFmtId="0" fontId="0" fillId="0" borderId="404" xfId="0" applyBorder="1" applyAlignment="1">
      <alignment vertical="center" wrapText="1"/>
    </xf>
    <xf numFmtId="0" fontId="0" fillId="0" borderId="384" xfId="0" applyBorder="1" applyAlignment="1">
      <alignment horizontal="center" vertical="center"/>
    </xf>
    <xf numFmtId="0" fontId="0" fillId="0" borderId="385" xfId="0" applyBorder="1" applyAlignment="1">
      <alignment horizontal="center" vertical="center"/>
    </xf>
    <xf numFmtId="0" fontId="0" fillId="0" borderId="386" xfId="0" applyBorder="1" applyAlignment="1">
      <alignment horizontal="center" vertical="center"/>
    </xf>
    <xf numFmtId="0" fontId="0" fillId="0" borderId="410" xfId="0" applyBorder="1" applyAlignment="1">
      <alignment horizontal="center" vertical="center"/>
    </xf>
    <xf numFmtId="0" fontId="0" fillId="0" borderId="414" xfId="0" applyBorder="1" applyAlignment="1">
      <alignment horizontal="center" vertical="center"/>
    </xf>
    <xf numFmtId="0" fontId="0" fillId="0" borderId="413" xfId="0" applyBorder="1" applyAlignment="1">
      <alignment horizontal="center" vertical="center"/>
    </xf>
    <xf numFmtId="0" fontId="0" fillId="0" borderId="419" xfId="0" applyBorder="1" applyAlignment="1">
      <alignment horizontal="center" vertical="center"/>
    </xf>
    <xf numFmtId="0" fontId="2" fillId="16" borderId="411" xfId="0" applyFont="1" applyFill="1" applyBorder="1" applyAlignment="1">
      <alignment horizontal="center" vertical="center"/>
    </xf>
    <xf numFmtId="0" fontId="2" fillId="16" borderId="418" xfId="0" applyFont="1" applyFill="1" applyBorder="1" applyAlignment="1">
      <alignment horizontal="center" vertical="center"/>
    </xf>
    <xf numFmtId="0" fontId="2" fillId="16" borderId="412" xfId="0" applyFont="1" applyFill="1" applyBorder="1" applyAlignment="1">
      <alignment horizontal="center" vertical="center"/>
    </xf>
    <xf numFmtId="0" fontId="0" fillId="17" borderId="385" xfId="0" applyFill="1" applyBorder="1" applyAlignment="1">
      <alignment horizontal="center" vertical="center"/>
    </xf>
    <xf numFmtId="0" fontId="0" fillId="17" borderId="415" xfId="0" applyFill="1" applyBorder="1" applyAlignment="1">
      <alignment vertical="center" wrapText="1"/>
    </xf>
    <xf numFmtId="0" fontId="0" fillId="17" borderId="416" xfId="0" applyFill="1" applyBorder="1" applyAlignment="1">
      <alignment vertical="center" wrapText="1"/>
    </xf>
    <xf numFmtId="0" fontId="0" fillId="17" borderId="417" xfId="0" applyFill="1" applyBorder="1" applyAlignment="1">
      <alignment vertical="center" wrapText="1"/>
    </xf>
    <xf numFmtId="0" fontId="0" fillId="17" borderId="389" xfId="0" applyFill="1" applyBorder="1" applyAlignment="1">
      <alignment vertical="center" wrapText="1"/>
    </xf>
    <xf numFmtId="0" fontId="0" fillId="17" borderId="388" xfId="0" applyFill="1" applyBorder="1" applyAlignment="1">
      <alignment vertical="center" wrapText="1"/>
    </xf>
    <xf numFmtId="0" fontId="0" fillId="17" borderId="390" xfId="0" applyFill="1" applyBorder="1" applyAlignment="1">
      <alignment vertical="center" wrapText="1"/>
    </xf>
    <xf numFmtId="0" fontId="0" fillId="0" borderId="389" xfId="0" applyBorder="1" applyAlignment="1">
      <alignment vertical="center" wrapText="1"/>
    </xf>
    <xf numFmtId="0" fontId="0" fillId="0" borderId="388" xfId="0" applyBorder="1" applyAlignment="1">
      <alignment vertical="center" wrapText="1"/>
    </xf>
    <xf numFmtId="0" fontId="0" fillId="0" borderId="390" xfId="0" applyBorder="1" applyAlignment="1">
      <alignment vertical="center" wrapText="1"/>
    </xf>
    <xf numFmtId="0" fontId="0" fillId="17" borderId="386" xfId="0" applyFill="1" applyBorder="1" applyAlignment="1">
      <alignment horizontal="center" vertical="center"/>
    </xf>
    <xf numFmtId="0" fontId="0" fillId="0" borderId="402" xfId="0" applyBorder="1" applyAlignment="1">
      <alignment horizontal="left" vertical="center" wrapText="1"/>
    </xf>
    <xf numFmtId="0" fontId="0" fillId="0" borderId="0" xfId="0" applyAlignment="1">
      <alignment horizontal="left" vertical="center" wrapText="1"/>
    </xf>
    <xf numFmtId="0" fontId="0" fillId="0" borderId="403" xfId="0" applyBorder="1" applyAlignment="1">
      <alignment horizontal="left" vertical="center" wrapText="1"/>
    </xf>
    <xf numFmtId="0" fontId="0" fillId="0" borderId="389" xfId="0" applyBorder="1" applyAlignment="1">
      <alignment horizontal="left" vertical="center" wrapText="1"/>
    </xf>
    <xf numFmtId="0" fontId="0" fillId="0" borderId="388" xfId="0" applyBorder="1" applyAlignment="1">
      <alignment horizontal="left" vertical="center" wrapText="1"/>
    </xf>
    <xf numFmtId="0" fontId="0" fillId="0" borderId="390" xfId="0" applyBorder="1" applyAlignment="1">
      <alignment horizontal="left" vertical="center" wrapText="1"/>
    </xf>
    <xf numFmtId="0" fontId="0" fillId="17" borderId="389" xfId="0" applyFill="1" applyBorder="1" applyAlignment="1">
      <alignment horizontal="center" vertical="center"/>
    </xf>
    <xf numFmtId="0" fontId="0" fillId="17" borderId="388" xfId="0" applyFill="1" applyBorder="1" applyAlignment="1">
      <alignment horizontal="center" vertical="center"/>
    </xf>
    <xf numFmtId="168" fontId="0" fillId="0" borderId="336" xfId="0" applyNumberFormat="1" applyBorder="1" applyAlignment="1">
      <alignment horizontal="left"/>
    </xf>
    <xf numFmtId="168" fontId="0" fillId="0" borderId="337" xfId="0" applyNumberFormat="1" applyBorder="1" applyAlignment="1">
      <alignment horizontal="left"/>
    </xf>
    <xf numFmtId="10" fontId="0" fillId="0" borderId="381" xfId="0" applyNumberFormat="1" applyBorder="1" applyAlignment="1">
      <alignment horizontal="left"/>
    </xf>
    <xf numFmtId="10" fontId="0" fillId="0" borderId="382" xfId="0" applyNumberFormat="1" applyBorder="1" applyAlignment="1">
      <alignment horizontal="left"/>
    </xf>
    <xf numFmtId="10" fontId="0" fillId="0" borderId="383" xfId="0" applyNumberFormat="1" applyBorder="1" applyAlignment="1">
      <alignment horizontal="left"/>
    </xf>
    <xf numFmtId="10" fontId="0" fillId="0" borderId="348" xfId="0" applyNumberFormat="1" applyBorder="1" applyAlignment="1">
      <alignment horizontal="center"/>
    </xf>
    <xf numFmtId="10" fontId="0" fillId="0" borderId="335" xfId="0" applyNumberFormat="1" applyBorder="1" applyAlignment="1">
      <alignment horizontal="center"/>
    </xf>
    <xf numFmtId="10" fontId="0" fillId="0" borderId="334" xfId="0" applyNumberFormat="1" applyBorder="1" applyAlignment="1">
      <alignment horizontal="center"/>
    </xf>
    <xf numFmtId="0" fontId="43" fillId="0" borderId="0" xfId="0" applyFont="1" applyAlignment="1">
      <alignment horizontal="center"/>
    </xf>
    <xf numFmtId="0" fontId="0" fillId="0" borderId="336" xfId="0" applyBorder="1" applyAlignment="1">
      <alignment horizontal="left" vertical="top"/>
    </xf>
    <xf numFmtId="0" fontId="0" fillId="0" borderId="337" xfId="0" applyBorder="1" applyAlignment="1">
      <alignment horizontal="left" vertical="top"/>
    </xf>
    <xf numFmtId="0" fontId="0" fillId="0" borderId="333" xfId="0" applyBorder="1" applyAlignment="1">
      <alignment horizontal="left" vertical="top"/>
    </xf>
    <xf numFmtId="0" fontId="0" fillId="0" borderId="332" xfId="0" applyBorder="1" applyAlignment="1">
      <alignment horizontal="left" vertical="top"/>
    </xf>
    <xf numFmtId="0" fontId="0" fillId="0" borderId="335" xfId="0" applyBorder="1" applyAlignment="1">
      <alignment horizontal="left" vertical="top"/>
    </xf>
    <xf numFmtId="0" fontId="0" fillId="0" borderId="334" xfId="0" applyBorder="1" applyAlignment="1">
      <alignment horizontal="left" vertical="top"/>
    </xf>
    <xf numFmtId="0" fontId="0" fillId="22" borderId="7" xfId="0" applyFill="1" applyBorder="1" applyAlignment="1">
      <alignment horizontal="center" vertical="center"/>
    </xf>
    <xf numFmtId="0" fontId="0" fillId="0" borderId="0" xfId="0" applyAlignment="1">
      <alignment horizontal="center"/>
    </xf>
    <xf numFmtId="0" fontId="0" fillId="0" borderId="12" xfId="0" applyBorder="1" applyAlignment="1">
      <alignment horizontal="center"/>
    </xf>
    <xf numFmtId="0" fontId="0" fillId="0" borderId="331" xfId="0" applyBorder="1" applyAlignment="1">
      <alignment horizontal="left" vertical="top"/>
    </xf>
    <xf numFmtId="0" fontId="0" fillId="0" borderId="330" xfId="0" applyBorder="1" applyAlignment="1">
      <alignment horizontal="left" vertical="top"/>
    </xf>
    <xf numFmtId="0" fontId="2" fillId="16" borderId="394" xfId="0" applyFont="1" applyFill="1" applyBorder="1" applyAlignment="1">
      <alignment horizontal="center"/>
    </xf>
    <xf numFmtId="0" fontId="2" fillId="16" borderId="391" xfId="0" applyFont="1" applyFill="1" applyBorder="1" applyAlignment="1">
      <alignment horizontal="center"/>
    </xf>
    <xf numFmtId="0" fontId="2" fillId="16" borderId="395" xfId="0" applyFont="1" applyFill="1" applyBorder="1" applyAlignment="1">
      <alignment horizontal="center"/>
    </xf>
    <xf numFmtId="0" fontId="2" fillId="16" borderId="397" xfId="0" applyFont="1" applyFill="1" applyBorder="1" applyAlignment="1">
      <alignment horizontal="center"/>
    </xf>
    <xf numFmtId="10" fontId="0" fillId="0" borderId="351" xfId="0" applyNumberFormat="1" applyBorder="1" applyAlignment="1">
      <alignment horizontal="center"/>
    </xf>
    <xf numFmtId="10" fontId="0" fillId="0" borderId="350" xfId="0" applyNumberFormat="1" applyBorder="1" applyAlignment="1">
      <alignment horizontal="left" wrapText="1"/>
    </xf>
    <xf numFmtId="10" fontId="0" fillId="0" borderId="335" xfId="0" applyNumberFormat="1" applyBorder="1" applyAlignment="1">
      <alignment horizontal="left" wrapText="1"/>
    </xf>
    <xf numFmtId="10" fontId="0" fillId="0" borderId="334" xfId="0" applyNumberFormat="1" applyBorder="1" applyAlignment="1">
      <alignment horizontal="left" wrapText="1"/>
    </xf>
    <xf numFmtId="10" fontId="0" fillId="0" borderId="348" xfId="0" applyNumberFormat="1" applyBorder="1" applyAlignment="1">
      <alignment horizontal="left"/>
    </xf>
    <xf numFmtId="10" fontId="0" fillId="0" borderId="335" xfId="0" applyNumberFormat="1" applyBorder="1" applyAlignment="1">
      <alignment horizontal="left"/>
    </xf>
    <xf numFmtId="10" fontId="0" fillId="0" borderId="334" xfId="0" applyNumberFormat="1" applyBorder="1" applyAlignment="1">
      <alignment horizontal="left"/>
    </xf>
    <xf numFmtId="0" fontId="0" fillId="0" borderId="336" xfId="0" applyBorder="1" applyAlignment="1">
      <alignment vertical="top" wrapText="1"/>
    </xf>
    <xf numFmtId="0" fontId="0" fillId="0" borderId="337" xfId="0" applyBorder="1" applyAlignment="1">
      <alignment vertical="top" wrapText="1"/>
    </xf>
    <xf numFmtId="0" fontId="0" fillId="0" borderId="56" xfId="0" applyBorder="1" applyAlignment="1">
      <alignment vertical="top" wrapText="1"/>
    </xf>
    <xf numFmtId="0" fontId="0" fillId="0" borderId="379" xfId="0" applyBorder="1" applyAlignment="1">
      <alignment vertical="top" wrapText="1"/>
    </xf>
    <xf numFmtId="0" fontId="0" fillId="0" borderId="345" xfId="0" applyBorder="1" applyAlignment="1">
      <alignment horizontal="center" vertical="center"/>
    </xf>
    <xf numFmtId="0" fontId="0" fillId="0" borderId="335" xfId="0" applyBorder="1" applyAlignment="1">
      <alignment horizontal="center" vertical="center"/>
    </xf>
    <xf numFmtId="0" fontId="0" fillId="0" borderId="334" xfId="0" applyBorder="1" applyAlignment="1">
      <alignment horizontal="center" vertical="center"/>
    </xf>
    <xf numFmtId="0" fontId="0" fillId="0" borderId="387" xfId="0" applyBorder="1" applyAlignment="1">
      <alignment vertical="top" wrapText="1"/>
    </xf>
    <xf numFmtId="0" fontId="0" fillId="0" borderId="63" xfId="0" applyBorder="1" applyAlignment="1">
      <alignment horizontal="center" vertical="center"/>
    </xf>
    <xf numFmtId="0" fontId="0" fillId="0" borderId="271" xfId="0" applyBorder="1" applyAlignment="1">
      <alignment horizontal="center" vertical="center"/>
    </xf>
    <xf numFmtId="0" fontId="0" fillId="0" borderId="378" xfId="0" applyBorder="1" applyAlignment="1">
      <alignment horizontal="center" vertical="center"/>
    </xf>
    <xf numFmtId="0" fontId="0" fillId="0" borderId="398" xfId="0" applyBorder="1" applyAlignment="1">
      <alignment horizontal="center" vertical="center"/>
    </xf>
    <xf numFmtId="0" fontId="2" fillId="16" borderId="406" xfId="0" applyFont="1" applyFill="1" applyBorder="1" applyAlignment="1">
      <alignment horizontal="center"/>
    </xf>
    <xf numFmtId="0" fontId="2" fillId="16" borderId="407" xfId="0" applyFont="1" applyFill="1" applyBorder="1" applyAlignment="1">
      <alignment horizontal="center"/>
    </xf>
    <xf numFmtId="0" fontId="2" fillId="16" borderId="408" xfId="0" applyFont="1" applyFill="1" applyBorder="1" applyAlignment="1">
      <alignment horizontal="center"/>
    </xf>
    <xf numFmtId="0" fontId="2" fillId="16" borderId="409" xfId="0" applyFont="1" applyFill="1" applyBorder="1" applyAlignment="1">
      <alignment horizontal="center"/>
    </xf>
    <xf numFmtId="0" fontId="2" fillId="16" borderId="9" xfId="0" applyFont="1" applyFill="1" applyBorder="1" applyAlignment="1">
      <alignment horizontal="center" vertical="center"/>
    </xf>
    <xf numFmtId="0" fontId="2" fillId="16" borderId="401" xfId="0" applyFont="1" applyFill="1" applyBorder="1" applyAlignment="1">
      <alignment horizontal="center" vertical="center"/>
    </xf>
    <xf numFmtId="0" fontId="0" fillId="0" borderId="345" xfId="0" applyBorder="1" applyAlignment="1">
      <alignment vertical="top" wrapText="1"/>
    </xf>
    <xf numFmtId="0" fontId="2" fillId="16" borderId="344" xfId="0" applyFont="1" applyFill="1" applyBorder="1" applyAlignment="1">
      <alignment horizontal="center"/>
    </xf>
    <xf numFmtId="0" fontId="2" fillId="16" borderId="347" xfId="0" applyFont="1" applyFill="1" applyBorder="1" applyAlignment="1">
      <alignment horizontal="center"/>
    </xf>
    <xf numFmtId="0" fontId="2" fillId="16" borderId="336" xfId="0" applyFont="1" applyFill="1" applyBorder="1" applyAlignment="1">
      <alignment horizontal="center"/>
    </xf>
    <xf numFmtId="0" fontId="2" fillId="16" borderId="337" xfId="0" applyFont="1" applyFill="1" applyBorder="1" applyAlignment="1">
      <alignment horizontal="center"/>
    </xf>
    <xf numFmtId="0" fontId="0" fillId="0" borderId="392" xfId="0" applyBorder="1" applyAlignment="1">
      <alignment vertical="top" wrapText="1"/>
    </xf>
    <xf numFmtId="0" fontId="0" fillId="0" borderId="393" xfId="0" applyBorder="1" applyAlignment="1">
      <alignment vertical="top" wrapText="1"/>
    </xf>
    <xf numFmtId="0" fontId="0" fillId="0" borderId="346" xfId="0" applyBorder="1" applyAlignment="1">
      <alignment horizontal="center" vertical="center"/>
    </xf>
    <xf numFmtId="0" fontId="0" fillId="0" borderId="331" xfId="0" applyBorder="1" applyAlignment="1">
      <alignment horizontal="center" vertical="center"/>
    </xf>
    <xf numFmtId="0" fontId="0" fillId="0" borderId="330" xfId="0" applyBorder="1" applyAlignment="1">
      <alignment horizontal="center" vertical="center"/>
    </xf>
    <xf numFmtId="0" fontId="0" fillId="0" borderId="0" xfId="0" applyAlignment="1">
      <alignment horizontal="left"/>
    </xf>
    <xf numFmtId="0" fontId="0" fillId="0" borderId="348" xfId="0" applyBorder="1" applyAlignment="1">
      <alignment horizontal="left" vertical="top"/>
    </xf>
    <xf numFmtId="0" fontId="0" fillId="0" borderId="344" xfId="0" applyBorder="1" applyAlignment="1">
      <alignment horizontal="left" vertical="top"/>
    </xf>
    <xf numFmtId="0" fontId="0" fillId="16" borderId="1" xfId="0" applyFill="1" applyBorder="1" applyAlignment="1">
      <alignment horizontal="right"/>
    </xf>
    <xf numFmtId="0" fontId="0" fillId="16" borderId="2" xfId="0" applyFill="1" applyBorder="1" applyAlignment="1">
      <alignment horizontal="right"/>
    </xf>
    <xf numFmtId="0" fontId="0" fillId="16" borderId="143" xfId="0" applyFill="1" applyBorder="1" applyAlignment="1">
      <alignment horizontal="right"/>
    </xf>
    <xf numFmtId="0" fontId="0" fillId="0" borderId="131" xfId="0" applyBorder="1" applyAlignment="1">
      <alignment horizontal="center"/>
    </xf>
    <xf numFmtId="0" fontId="0" fillId="0" borderId="2" xfId="0" applyBorder="1" applyAlignment="1">
      <alignment horizontal="center"/>
    </xf>
    <xf numFmtId="0" fontId="0" fillId="0" borderId="2" xfId="0" applyBorder="1" applyAlignment="1">
      <alignment horizontal="right"/>
    </xf>
    <xf numFmtId="168" fontId="0" fillId="0" borderId="2" xfId="0" applyNumberFormat="1" applyBorder="1" applyAlignment="1">
      <alignment horizontal="left"/>
    </xf>
    <xf numFmtId="168" fontId="0" fillId="0" borderId="4" xfId="0" applyNumberFormat="1" applyBorder="1" applyAlignment="1">
      <alignment horizontal="left"/>
    </xf>
    <xf numFmtId="0" fontId="42" fillId="0" borderId="0" xfId="0" applyFont="1" applyAlignment="1">
      <alignment horizontal="left"/>
    </xf>
    <xf numFmtId="44" fontId="1" fillId="0" borderId="304" xfId="2" applyFont="1" applyBorder="1" applyAlignment="1">
      <alignment horizontal="left"/>
    </xf>
    <xf numFmtId="44" fontId="1" fillId="0" borderId="315" xfId="2" applyFont="1" applyBorder="1" applyAlignment="1">
      <alignment horizontal="left"/>
    </xf>
    <xf numFmtId="44" fontId="1" fillId="16" borderId="308" xfId="2" applyFont="1" applyFill="1" applyBorder="1" applyAlignment="1">
      <alignment horizontal="left"/>
    </xf>
    <xf numFmtId="44" fontId="1" fillId="16" borderId="316" xfId="2" applyFont="1" applyFill="1" applyBorder="1" applyAlignment="1">
      <alignment horizontal="left"/>
    </xf>
    <xf numFmtId="44" fontId="2" fillId="16" borderId="309" xfId="2" applyFont="1" applyFill="1" applyBorder="1" applyAlignment="1">
      <alignment horizontal="left"/>
    </xf>
    <xf numFmtId="44" fontId="2" fillId="16" borderId="310" xfId="2" applyFont="1" applyFill="1" applyBorder="1" applyAlignment="1">
      <alignment horizontal="left"/>
    </xf>
    <xf numFmtId="44" fontId="2" fillId="16" borderId="306" xfId="2" applyFont="1" applyFill="1" applyBorder="1" applyAlignment="1"/>
    <xf numFmtId="44" fontId="2" fillId="16" borderId="305" xfId="2" applyFont="1" applyFill="1" applyBorder="1" applyAlignment="1"/>
    <xf numFmtId="44" fontId="2" fillId="16" borderId="320" xfId="2" applyFont="1" applyFill="1" applyBorder="1" applyAlignment="1">
      <alignment horizontal="left"/>
    </xf>
    <xf numFmtId="44" fontId="2" fillId="16" borderId="319" xfId="2" applyFont="1" applyFill="1" applyBorder="1" applyAlignment="1">
      <alignment horizontal="left"/>
    </xf>
    <xf numFmtId="0" fontId="2" fillId="16" borderId="314" xfId="0" applyFont="1" applyFill="1" applyBorder="1" applyAlignment="1">
      <alignment horizontal="left"/>
    </xf>
    <xf numFmtId="0" fontId="2" fillId="16" borderId="304" xfId="0" applyFont="1" applyFill="1" applyBorder="1" applyAlignment="1">
      <alignment horizontal="left"/>
    </xf>
    <xf numFmtId="0" fontId="2" fillId="16" borderId="315" xfId="0" applyFont="1" applyFill="1" applyBorder="1" applyAlignment="1">
      <alignment horizontal="left"/>
    </xf>
    <xf numFmtId="44" fontId="2" fillId="16" borderId="145" xfId="2" applyFont="1" applyFill="1" applyBorder="1" applyAlignment="1"/>
    <xf numFmtId="0" fontId="42" fillId="0" borderId="314" xfId="0" applyFont="1" applyBorder="1" applyAlignment="1">
      <alignment horizontal="left"/>
    </xf>
    <xf numFmtId="0" fontId="42" fillId="0" borderId="304" xfId="0" applyFont="1" applyBorder="1" applyAlignment="1">
      <alignment horizontal="left"/>
    </xf>
    <xf numFmtId="0" fontId="0" fillId="16" borderId="123" xfId="0" applyFill="1" applyBorder="1" applyAlignment="1">
      <alignment horizontal="right"/>
    </xf>
    <xf numFmtId="0" fontId="0" fillId="16" borderId="119" xfId="0" applyFill="1" applyBorder="1" applyAlignment="1">
      <alignment horizontal="right"/>
    </xf>
    <xf numFmtId="0" fontId="0" fillId="16" borderId="120" xfId="0" applyFill="1" applyBorder="1" applyAlignment="1">
      <alignment horizontal="right"/>
    </xf>
    <xf numFmtId="0" fontId="0" fillId="16" borderId="121" xfId="0" applyFill="1" applyBorder="1" applyAlignment="1">
      <alignment horizontal="right"/>
    </xf>
    <xf numFmtId="0" fontId="0" fillId="16" borderId="128" xfId="0" applyFill="1" applyBorder="1" applyAlignment="1">
      <alignment horizontal="right"/>
    </xf>
    <xf numFmtId="10" fontId="0" fillId="0" borderId="307" xfId="0" applyNumberFormat="1" applyBorder="1" applyAlignment="1">
      <alignment horizontal="center"/>
    </xf>
    <xf numFmtId="10" fontId="0" fillId="0" borderId="302" xfId="0" applyNumberFormat="1" applyBorder="1" applyAlignment="1">
      <alignment horizontal="center"/>
    </xf>
    <xf numFmtId="10" fontId="0" fillId="0" borderId="303" xfId="0" applyNumberFormat="1" applyBorder="1" applyAlignment="1">
      <alignment horizontal="center"/>
    </xf>
    <xf numFmtId="0" fontId="2" fillId="0" borderId="312" xfId="0" applyFont="1" applyBorder="1" applyAlignment="1">
      <alignment horizontal="center"/>
    </xf>
    <xf numFmtId="0" fontId="2" fillId="0" borderId="311" xfId="0" applyFont="1" applyBorder="1" applyAlignment="1">
      <alignment horizontal="center"/>
    </xf>
    <xf numFmtId="0" fontId="2" fillId="16" borderId="317" xfId="0" applyFont="1" applyFill="1" applyBorder="1" applyAlignment="1">
      <alignment horizontal="left"/>
    </xf>
    <xf numFmtId="0" fontId="2" fillId="16" borderId="318" xfId="0" applyFont="1" applyFill="1" applyBorder="1" applyAlignment="1">
      <alignment horizontal="left"/>
    </xf>
    <xf numFmtId="0" fontId="2" fillId="16" borderId="319" xfId="0" applyFont="1" applyFill="1" applyBorder="1" applyAlignment="1">
      <alignment horizontal="left"/>
    </xf>
    <xf numFmtId="0" fontId="0" fillId="16" borderId="125" xfId="0" applyFill="1" applyBorder="1" applyAlignment="1">
      <alignment horizontal="right"/>
    </xf>
    <xf numFmtId="0" fontId="0" fillId="16" borderId="126" xfId="0" applyFill="1" applyBorder="1" applyAlignment="1">
      <alignment horizontal="right"/>
    </xf>
    <xf numFmtId="44" fontId="0" fillId="0" borderId="236" xfId="2" applyFont="1" applyBorder="1" applyAlignment="1">
      <alignment horizontal="center"/>
    </xf>
    <xf numFmtId="44" fontId="0" fillId="0" borderId="235" xfId="2" applyFont="1" applyBorder="1" applyAlignment="1">
      <alignment horizontal="center"/>
    </xf>
    <xf numFmtId="10" fontId="0" fillId="0" borderId="301" xfId="0" applyNumberFormat="1" applyBorder="1" applyAlignment="1">
      <alignment horizontal="left"/>
    </xf>
    <xf numFmtId="10" fontId="0" fillId="0" borderId="300" xfId="0" applyNumberFormat="1" applyBorder="1" applyAlignment="1">
      <alignment horizontal="left"/>
    </xf>
    <xf numFmtId="44" fontId="0" fillId="0" borderId="238" xfId="2" applyFont="1" applyBorder="1" applyAlignment="1">
      <alignment horizontal="left"/>
    </xf>
    <xf numFmtId="44" fontId="0" fillId="0" borderId="7" xfId="2" applyFont="1" applyBorder="1" applyAlignment="1">
      <alignment horizontal="left"/>
    </xf>
    <xf numFmtId="44" fontId="0" fillId="0" borderId="11" xfId="2" applyFont="1" applyBorder="1" applyAlignment="1">
      <alignment horizontal="left"/>
    </xf>
    <xf numFmtId="0" fontId="2" fillId="0" borderId="313" xfId="0" applyFont="1" applyBorder="1" applyAlignment="1">
      <alignment horizontal="center"/>
    </xf>
    <xf numFmtId="0" fontId="42" fillId="0" borderId="0" xfId="0" applyFont="1" applyAlignment="1">
      <alignment horizontal="left" wrapText="1"/>
    </xf>
    <xf numFmtId="0" fontId="0" fillId="0" borderId="119" xfId="0" applyBorder="1" applyAlignment="1">
      <alignment horizontal="left"/>
    </xf>
    <xf numFmtId="0" fontId="0" fillId="0" borderId="129" xfId="0" applyBorder="1" applyAlignment="1">
      <alignment horizontal="left"/>
    </xf>
    <xf numFmtId="0" fontId="0" fillId="0" borderId="124" xfId="0" applyBorder="1" applyAlignment="1">
      <alignment horizontal="left"/>
    </xf>
    <xf numFmtId="0" fontId="0" fillId="0" borderId="353" xfId="0" applyBorder="1" applyAlignment="1">
      <alignment horizontal="left"/>
    </xf>
    <xf numFmtId="0" fontId="0" fillId="0" borderId="354" xfId="0" applyBorder="1" applyAlignment="1">
      <alignment horizontal="left"/>
    </xf>
    <xf numFmtId="0" fontId="0" fillId="0" borderId="355" xfId="0" applyBorder="1" applyAlignment="1">
      <alignment horizontal="left"/>
    </xf>
    <xf numFmtId="0" fontId="0" fillId="16" borderId="352" xfId="0" applyFill="1" applyBorder="1" applyAlignment="1">
      <alignment horizontal="right"/>
    </xf>
    <xf numFmtId="0" fontId="0" fillId="16" borderId="353" xfId="0" applyFill="1" applyBorder="1" applyAlignment="1">
      <alignment horizontal="right"/>
    </xf>
    <xf numFmtId="0" fontId="0" fillId="16" borderId="354" xfId="0" applyFill="1" applyBorder="1" applyAlignment="1">
      <alignment horizontal="right"/>
    </xf>
    <xf numFmtId="0" fontId="0" fillId="16" borderId="356" xfId="0" applyFill="1" applyBorder="1" applyAlignment="1">
      <alignment horizontal="right"/>
    </xf>
    <xf numFmtId="0" fontId="0" fillId="16" borderId="357" xfId="0" applyFill="1" applyBorder="1" applyAlignment="1">
      <alignment horizontal="right"/>
    </xf>
    <xf numFmtId="0" fontId="0" fillId="0" borderId="130" xfId="0" applyBorder="1" applyAlignment="1">
      <alignment horizontal="left" indent="1"/>
    </xf>
    <xf numFmtId="0" fontId="0" fillId="0" borderId="287" xfId="0" applyBorder="1" applyAlignment="1">
      <alignment horizontal="left" indent="1"/>
    </xf>
    <xf numFmtId="0" fontId="0" fillId="0" borderId="287" xfId="0" applyBorder="1" applyAlignment="1">
      <alignment horizontal="right" indent="1"/>
    </xf>
    <xf numFmtId="0" fontId="0" fillId="0" borderId="287" xfId="0" applyBorder="1" applyAlignment="1">
      <alignment horizontal="left"/>
    </xf>
    <xf numFmtId="0" fontId="0" fillId="0" borderId="127" xfId="0" applyBorder="1" applyAlignment="1">
      <alignment horizontal="left"/>
    </xf>
    <xf numFmtId="10" fontId="0" fillId="0" borderId="358" xfId="0" applyNumberFormat="1" applyBorder="1" applyAlignment="1">
      <alignment horizontal="left" indent="1"/>
    </xf>
    <xf numFmtId="10" fontId="0" fillId="0" borderId="357" xfId="0" applyNumberFormat="1" applyBorder="1" applyAlignment="1">
      <alignment horizontal="left" indent="1"/>
    </xf>
    <xf numFmtId="10" fontId="0" fillId="0" borderId="359" xfId="0" applyNumberFormat="1" applyBorder="1" applyAlignment="1">
      <alignment horizontal="left" indent="1"/>
    </xf>
    <xf numFmtId="0" fontId="0" fillId="0" borderId="121" xfId="0" applyBorder="1" applyAlignment="1">
      <alignment horizontal="left"/>
    </xf>
    <xf numFmtId="0" fontId="0" fillId="0" borderId="128" xfId="0" applyBorder="1" applyAlignment="1">
      <alignment horizontal="left"/>
    </xf>
    <xf numFmtId="0" fontId="0" fillId="0" borderId="122" xfId="0" applyBorder="1" applyAlignment="1">
      <alignment horizontal="left"/>
    </xf>
    <xf numFmtId="14" fontId="0" fillId="0" borderId="119" xfId="0" applyNumberFormat="1" applyBorder="1" applyAlignment="1">
      <alignment horizontal="left"/>
    </xf>
    <xf numFmtId="0" fontId="54" fillId="16" borderId="123" xfId="0" applyFont="1" applyFill="1" applyBorder="1" applyAlignment="1">
      <alignment horizontal="right"/>
    </xf>
    <xf numFmtId="0" fontId="54" fillId="16" borderId="119" xfId="0" applyFont="1" applyFill="1" applyBorder="1" applyAlignment="1">
      <alignment horizontal="right"/>
    </xf>
    <xf numFmtId="0" fontId="27" fillId="24" borderId="113" xfId="4" applyFont="1" applyFill="1" applyBorder="1" applyAlignment="1">
      <alignment horizontal="center" vertical="center" wrapText="1"/>
    </xf>
    <xf numFmtId="0" fontId="27" fillId="24" borderId="112" xfId="4" applyFont="1" applyFill="1" applyBorder="1" applyAlignment="1">
      <alignment horizontal="center" vertical="center" wrapText="1"/>
    </xf>
    <xf numFmtId="0" fontId="27" fillId="24" borderId="6" xfId="4" applyFont="1" applyFill="1" applyBorder="1" applyAlignment="1">
      <alignment horizontal="center" vertical="center" wrapText="1"/>
    </xf>
    <xf numFmtId="0" fontId="27" fillId="24" borderId="11" xfId="4" applyFont="1" applyFill="1" applyBorder="1" applyAlignment="1">
      <alignment horizontal="center" vertical="center" wrapText="1"/>
    </xf>
    <xf numFmtId="0" fontId="30" fillId="5" borderId="37" xfId="4" applyFont="1" applyFill="1" applyBorder="1" applyAlignment="1">
      <alignment vertical="center"/>
    </xf>
    <xf numFmtId="0" fontId="30" fillId="5" borderId="40" xfId="4" applyFont="1" applyFill="1" applyBorder="1" applyAlignment="1">
      <alignment vertical="center"/>
    </xf>
    <xf numFmtId="0" fontId="30" fillId="0" borderId="208" xfId="4" applyFont="1" applyBorder="1" applyAlignment="1">
      <alignment wrapText="1"/>
    </xf>
    <xf numFmtId="0" fontId="30" fillId="0" borderId="250" xfId="4" applyFont="1" applyBorder="1" applyAlignment="1">
      <alignment wrapText="1"/>
    </xf>
    <xf numFmtId="0" fontId="30" fillId="0" borderId="37" xfId="4" applyFont="1" applyBorder="1" applyAlignment="1">
      <alignment wrapText="1"/>
    </xf>
    <xf numFmtId="0" fontId="30" fillId="0" borderId="40" xfId="4" applyFont="1" applyBorder="1" applyAlignment="1">
      <alignment wrapText="1"/>
    </xf>
    <xf numFmtId="0" fontId="30" fillId="0" borderId="7" xfId="4" applyFont="1" applyBorder="1" applyAlignment="1">
      <alignment wrapText="1"/>
    </xf>
    <xf numFmtId="0" fontId="30" fillId="0" borderId="298" xfId="4" applyFont="1" applyBorder="1" applyAlignment="1">
      <alignment wrapText="1"/>
    </xf>
    <xf numFmtId="0" fontId="30" fillId="5" borderId="208" xfId="4" applyFont="1" applyFill="1" applyBorder="1" applyAlignment="1">
      <alignment vertical="center"/>
    </xf>
    <xf numFmtId="0" fontId="30" fillId="5" borderId="250" xfId="4" applyFont="1" applyFill="1" applyBorder="1" applyAlignment="1">
      <alignment vertical="center"/>
    </xf>
    <xf numFmtId="0" fontId="30" fillId="17" borderId="247" xfId="4" applyFont="1" applyFill="1" applyBorder="1" applyAlignment="1">
      <alignment horizontal="center"/>
    </xf>
    <xf numFmtId="0" fontId="30" fillId="17" borderId="240" xfId="4" applyFont="1" applyFill="1" applyBorder="1" applyAlignment="1">
      <alignment horizontal="center"/>
    </xf>
    <xf numFmtId="49" fontId="27" fillId="0" borderId="0" xfId="4" applyNumberFormat="1" applyFont="1" applyAlignment="1">
      <alignment horizontal="left" vertical="center" wrapText="1"/>
    </xf>
    <xf numFmtId="0" fontId="26" fillId="0" borderId="2" xfId="4" applyFont="1" applyBorder="1" applyAlignment="1">
      <alignment horizontal="center"/>
    </xf>
    <xf numFmtId="0" fontId="26" fillId="0" borderId="57" xfId="4" applyFont="1" applyBorder="1" applyAlignment="1">
      <alignment horizontal="center"/>
    </xf>
    <xf numFmtId="0" fontId="30" fillId="0" borderId="256" xfId="4" applyFont="1" applyBorder="1" applyAlignment="1">
      <alignment horizontal="left"/>
    </xf>
    <xf numFmtId="0" fontId="30" fillId="0" borderId="50" xfId="4" applyFont="1" applyBorder="1" applyAlignment="1">
      <alignment horizontal="left"/>
    </xf>
    <xf numFmtId="0" fontId="30" fillId="0" borderId="257" xfId="4" applyFont="1" applyBorder="1" applyAlignment="1">
      <alignment horizontal="left"/>
    </xf>
    <xf numFmtId="0" fontId="30" fillId="0" borderId="213" xfId="4" applyFont="1" applyBorder="1" applyAlignment="1">
      <alignment horizontal="left"/>
    </xf>
    <xf numFmtId="0" fontId="30" fillId="0" borderId="159" xfId="4" applyFont="1" applyBorder="1" applyAlignment="1">
      <alignment horizontal="left"/>
    </xf>
    <xf numFmtId="0" fontId="30" fillId="0" borderId="53" xfId="4" applyFont="1" applyBorder="1" applyAlignment="1">
      <alignment horizontal="left"/>
    </xf>
    <xf numFmtId="0" fontId="30" fillId="0" borderId="90" xfId="4" applyFont="1" applyBorder="1" applyAlignment="1">
      <alignment horizontal="left"/>
    </xf>
    <xf numFmtId="0" fontId="57" fillId="5" borderId="39" xfId="4" applyFont="1" applyFill="1" applyBorder="1" applyAlignment="1">
      <alignment horizontal="center" vertical="center"/>
    </xf>
    <xf numFmtId="0" fontId="57" fillId="5" borderId="37" xfId="4" applyFont="1" applyFill="1" applyBorder="1" applyAlignment="1">
      <alignment horizontal="center" vertical="center"/>
    </xf>
    <xf numFmtId="0" fontId="57" fillId="5" borderId="73" xfId="4" applyFont="1" applyFill="1" applyBorder="1" applyAlignment="1">
      <alignment horizontal="center" vertical="center"/>
    </xf>
    <xf numFmtId="0" fontId="57" fillId="5" borderId="208" xfId="4" applyFont="1" applyFill="1" applyBorder="1" applyAlignment="1">
      <alignment horizontal="center" vertical="center"/>
    </xf>
    <xf numFmtId="0" fontId="35" fillId="0" borderId="0" xfId="0" applyFont="1" applyAlignment="1">
      <alignment horizontal="center" vertical="center"/>
    </xf>
    <xf numFmtId="0" fontId="34" fillId="22" borderId="99" xfId="0" applyFont="1" applyFill="1" applyBorder="1" applyAlignment="1">
      <alignment horizontal="center" vertical="center"/>
    </xf>
    <xf numFmtId="0" fontId="34" fillId="22" borderId="100" xfId="0" applyFont="1" applyFill="1" applyBorder="1" applyAlignment="1">
      <alignment horizontal="center" vertical="center"/>
    </xf>
    <xf numFmtId="0" fontId="34" fillId="22" borderId="167" xfId="0" applyFont="1" applyFill="1" applyBorder="1" applyAlignment="1">
      <alignment horizontal="center" vertical="center"/>
    </xf>
    <xf numFmtId="0" fontId="57" fillId="0" borderId="251" xfId="4" applyFont="1" applyBorder="1" applyAlignment="1">
      <alignment horizontal="center" vertical="center"/>
    </xf>
    <xf numFmtId="0" fontId="57" fillId="0" borderId="252" xfId="4" applyFont="1" applyBorder="1" applyAlignment="1">
      <alignment horizontal="center" vertical="center"/>
    </xf>
    <xf numFmtId="49" fontId="66" fillId="0" borderId="34" xfId="0" applyNumberFormat="1" applyFont="1" applyBorder="1" applyAlignment="1">
      <alignment horizontal="center"/>
    </xf>
    <xf numFmtId="49" fontId="66" fillId="0" borderId="30" xfId="0" applyNumberFormat="1" applyFont="1" applyBorder="1" applyAlignment="1">
      <alignment horizontal="center"/>
    </xf>
    <xf numFmtId="0" fontId="57" fillId="0" borderId="39" xfId="4" applyFont="1" applyBorder="1" applyAlignment="1">
      <alignment horizontal="center" vertical="center"/>
    </xf>
    <xf numFmtId="0" fontId="57" fillId="0" borderId="40" xfId="4" applyFont="1" applyBorder="1" applyAlignment="1">
      <alignment horizontal="center" vertical="center"/>
    </xf>
    <xf numFmtId="0" fontId="35" fillId="0" borderId="205" xfId="0" applyFont="1" applyBorder="1" applyAlignment="1">
      <alignment horizontal="center" vertical="center"/>
    </xf>
    <xf numFmtId="0" fontId="53" fillId="0" borderId="178" xfId="4" applyFont="1" applyBorder="1" applyAlignment="1">
      <alignment horizontal="left" vertical="center" wrapText="1"/>
    </xf>
    <xf numFmtId="2" fontId="30" fillId="0" borderId="39" xfId="3" applyNumberFormat="1" applyFont="1" applyFill="1" applyBorder="1" applyAlignment="1" applyProtection="1">
      <alignment horizontal="center"/>
    </xf>
    <xf numFmtId="2" fontId="30" fillId="0" borderId="38" xfId="3" applyNumberFormat="1" applyFont="1" applyFill="1" applyBorder="1" applyAlignment="1" applyProtection="1">
      <alignment horizontal="center"/>
    </xf>
    <xf numFmtId="0" fontId="57" fillId="5" borderId="182" xfId="4" applyFont="1" applyFill="1" applyBorder="1" applyAlignment="1">
      <alignment vertical="center" wrapText="1"/>
    </xf>
    <xf numFmtId="0" fontId="27" fillId="5" borderId="56" xfId="4" applyFont="1" applyFill="1" applyBorder="1" applyAlignment="1">
      <alignment vertical="center"/>
    </xf>
    <xf numFmtId="0" fontId="26" fillId="22" borderId="1" xfId="4" applyFont="1" applyFill="1" applyBorder="1" applyAlignment="1">
      <alignment horizontal="left"/>
    </xf>
    <xf numFmtId="0" fontId="26" fillId="22" borderId="2" xfId="4" applyFont="1" applyFill="1" applyBorder="1" applyAlignment="1">
      <alignment horizontal="left"/>
    </xf>
    <xf numFmtId="2" fontId="30" fillId="0" borderId="39" xfId="3" applyNumberFormat="1" applyFont="1" applyBorder="1" applyAlignment="1" applyProtection="1">
      <alignment horizontal="center"/>
    </xf>
    <xf numFmtId="2" fontId="30" fillId="0" borderId="42" xfId="3" applyNumberFormat="1" applyFont="1" applyBorder="1" applyAlignment="1" applyProtection="1">
      <alignment horizontal="center"/>
    </xf>
    <xf numFmtId="2" fontId="30" fillId="0" borderId="32" xfId="3" applyNumberFormat="1" applyFont="1" applyBorder="1" applyAlignment="1" applyProtection="1">
      <alignment horizontal="center"/>
    </xf>
    <xf numFmtId="2" fontId="30" fillId="0" borderId="89" xfId="3" applyNumberFormat="1" applyFont="1" applyBorder="1" applyAlignment="1" applyProtection="1">
      <alignment horizontal="center"/>
    </xf>
    <xf numFmtId="0" fontId="32" fillId="23" borderId="1" xfId="4" applyFont="1" applyFill="1" applyBorder="1" applyAlignment="1">
      <alignment horizontal="left"/>
    </xf>
    <xf numFmtId="0" fontId="32" fillId="23" borderId="2" xfId="4" applyFont="1" applyFill="1" applyBorder="1" applyAlignment="1">
      <alignment horizontal="left"/>
    </xf>
    <xf numFmtId="0" fontId="57" fillId="0" borderId="214" xfId="4" applyFont="1" applyBorder="1" applyAlignment="1">
      <alignment horizontal="center" vertical="center"/>
    </xf>
    <xf numFmtId="0" fontId="57" fillId="0" borderId="37" xfId="4" applyFont="1" applyBorder="1" applyAlignment="1">
      <alignment horizontal="center" vertical="center"/>
    </xf>
    <xf numFmtId="0" fontId="57" fillId="0" borderId="38" xfId="4" applyFont="1" applyBorder="1" applyAlignment="1">
      <alignment horizontal="center" vertical="center"/>
    </xf>
    <xf numFmtId="164" fontId="26" fillId="22" borderId="1" xfId="4" applyNumberFormat="1" applyFont="1" applyFill="1" applyBorder="1" applyAlignment="1">
      <alignment horizontal="center"/>
    </xf>
    <xf numFmtId="164" fontId="26" fillId="22" borderId="4" xfId="4" applyNumberFormat="1" applyFont="1" applyFill="1" applyBorder="1" applyAlignment="1">
      <alignment horizontal="center"/>
    </xf>
    <xf numFmtId="2" fontId="30" fillId="0" borderId="34" xfId="7" applyNumberFormat="1" applyFont="1" applyFill="1" applyBorder="1" applyAlignment="1" applyProtection="1">
      <alignment horizontal="center"/>
    </xf>
    <xf numFmtId="2" fontId="30" fillId="0" borderId="36" xfId="7" applyNumberFormat="1" applyFont="1" applyFill="1" applyBorder="1" applyAlignment="1" applyProtection="1">
      <alignment horizontal="center"/>
    </xf>
    <xf numFmtId="0" fontId="25" fillId="0" borderId="0" xfId="0" applyFont="1" applyAlignment="1">
      <alignment horizontal="left" vertical="top" wrapText="1"/>
    </xf>
    <xf numFmtId="0" fontId="30" fillId="0" borderId="187" xfId="4" applyFont="1" applyBorder="1" applyAlignment="1">
      <alignment horizontal="left"/>
    </xf>
    <xf numFmtId="0" fontId="30" fillId="0" borderId="52" xfId="4" applyFont="1" applyBorder="1" applyAlignment="1">
      <alignment horizontal="left"/>
    </xf>
    <xf numFmtId="0" fontId="30" fillId="0" borderId="48" xfId="4" applyFont="1" applyBorder="1" applyAlignment="1">
      <alignment horizontal="left"/>
    </xf>
    <xf numFmtId="49" fontId="57" fillId="0" borderId="212" xfId="4" applyNumberFormat="1" applyFont="1" applyBorder="1" applyAlignment="1">
      <alignment horizontal="center"/>
    </xf>
    <xf numFmtId="49" fontId="57" fillId="0" borderId="213" xfId="4" applyNumberFormat="1" applyFont="1" applyBorder="1" applyAlignment="1">
      <alignment horizontal="center"/>
    </xf>
    <xf numFmtId="0" fontId="26" fillId="22" borderId="222" xfId="4" applyFont="1" applyFill="1" applyBorder="1" applyAlignment="1">
      <alignment horizontal="left"/>
    </xf>
    <xf numFmtId="0" fontId="26" fillId="22" borderId="145" xfId="4" applyFont="1" applyFill="1" applyBorder="1" applyAlignment="1">
      <alignment horizontal="left"/>
    </xf>
    <xf numFmtId="49" fontId="57" fillId="0" borderId="47" xfId="4" applyNumberFormat="1" applyFont="1" applyBorder="1" applyAlignment="1">
      <alignment horizontal="center"/>
    </xf>
    <xf numFmtId="49" fontId="57" fillId="0" borderId="50" xfId="4" applyNumberFormat="1" applyFont="1" applyBorder="1" applyAlignment="1">
      <alignment horizontal="center"/>
    </xf>
    <xf numFmtId="0" fontId="30" fillId="0" borderId="75" xfId="4" applyFont="1" applyBorder="1" applyAlignment="1">
      <alignment horizontal="left"/>
    </xf>
    <xf numFmtId="0" fontId="30" fillId="0" borderId="76" xfId="4" applyFont="1" applyBorder="1" applyAlignment="1">
      <alignment horizontal="left"/>
    </xf>
    <xf numFmtId="0" fontId="30" fillId="0" borderId="77" xfId="4" applyFont="1" applyBorder="1" applyAlignment="1">
      <alignment horizontal="left"/>
    </xf>
    <xf numFmtId="0" fontId="32" fillId="23" borderId="145" xfId="4" applyFont="1" applyFill="1" applyBorder="1" applyAlignment="1">
      <alignment horizontal="left"/>
    </xf>
    <xf numFmtId="49" fontId="57" fillId="0" borderId="210" xfId="4" applyNumberFormat="1" applyFont="1" applyBorder="1" applyAlignment="1">
      <alignment horizontal="center"/>
    </xf>
    <xf numFmtId="49" fontId="57" fillId="0" borderId="211" xfId="4" applyNumberFormat="1" applyFont="1" applyBorder="1" applyAlignment="1">
      <alignment horizontal="center"/>
    </xf>
    <xf numFmtId="49" fontId="27" fillId="5" borderId="9" xfId="4" applyNumberFormat="1" applyFont="1" applyFill="1" applyBorder="1" applyAlignment="1">
      <alignment horizontal="center"/>
    </xf>
    <xf numFmtId="49" fontId="27" fillId="5" borderId="0" xfId="4" applyNumberFormat="1" applyFont="1" applyFill="1" applyAlignment="1">
      <alignment horizontal="center"/>
    </xf>
    <xf numFmtId="49" fontId="27" fillId="5" borderId="26" xfId="4" applyNumberFormat="1" applyFont="1" applyFill="1" applyBorder="1" applyAlignment="1">
      <alignment horizontal="center"/>
    </xf>
    <xf numFmtId="5" fontId="27" fillId="24" borderId="226" xfId="2" applyNumberFormat="1" applyFont="1" applyFill="1" applyBorder="1" applyAlignment="1" applyProtection="1">
      <alignment horizontal="center"/>
    </xf>
    <xf numFmtId="5" fontId="27" fillId="24" borderId="15" xfId="2" applyNumberFormat="1" applyFont="1" applyFill="1" applyBorder="1" applyAlignment="1" applyProtection="1">
      <alignment horizontal="center"/>
    </xf>
    <xf numFmtId="0" fontId="28" fillId="24" borderId="23" xfId="0" applyFont="1" applyFill="1" applyBorder="1" applyAlignment="1">
      <alignment horizontal="center" vertical="center"/>
    </xf>
    <xf numFmtId="0" fontId="28" fillId="24" borderId="18" xfId="0" applyFont="1" applyFill="1" applyBorder="1" applyAlignment="1">
      <alignment horizontal="center" vertical="center"/>
    </xf>
    <xf numFmtId="0" fontId="28" fillId="24" borderId="63" xfId="0" applyFont="1" applyFill="1" applyBorder="1" applyAlignment="1">
      <alignment horizontal="center" vertical="center"/>
    </xf>
    <xf numFmtId="0" fontId="28" fillId="24" borderId="102" xfId="0" applyFont="1" applyFill="1" applyBorder="1" applyAlignment="1">
      <alignment horizontal="center" vertical="center"/>
    </xf>
    <xf numFmtId="0" fontId="27" fillId="24" borderId="27" xfId="4" applyFont="1" applyFill="1" applyBorder="1" applyAlignment="1">
      <alignment horizontal="left" vertical="center" wrapText="1"/>
    </xf>
    <xf numFmtId="0" fontId="27" fillId="24" borderId="111" xfId="4" applyFont="1" applyFill="1" applyBorder="1" applyAlignment="1">
      <alignment horizontal="left" vertical="center" wrapText="1"/>
    </xf>
    <xf numFmtId="0" fontId="26" fillId="24" borderId="176" xfId="4" applyFont="1" applyFill="1" applyBorder="1" applyAlignment="1">
      <alignment horizontal="left" vertical="center" wrapText="1"/>
    </xf>
    <xf numFmtId="0" fontId="26" fillId="24" borderId="174" xfId="4" applyFont="1" applyFill="1" applyBorder="1" applyAlignment="1">
      <alignment horizontal="left" vertical="center" wrapText="1"/>
    </xf>
    <xf numFmtId="0" fontId="26" fillId="24" borderId="177" xfId="4" applyFont="1" applyFill="1" applyBorder="1" applyAlignment="1">
      <alignment horizontal="left" vertical="center" wrapText="1"/>
    </xf>
    <xf numFmtId="0" fontId="27" fillId="24" borderId="113" xfId="4" applyFont="1" applyFill="1" applyBorder="1" applyAlignment="1">
      <alignment horizontal="right" vertical="center" wrapText="1"/>
    </xf>
    <xf numFmtId="0" fontId="27" fillId="24" borderId="23" xfId="4" applyFont="1" applyFill="1" applyBorder="1" applyAlignment="1">
      <alignment horizontal="right" vertical="center" wrapText="1"/>
    </xf>
    <xf numFmtId="0" fontId="27" fillId="24" borderId="6" xfId="4" applyFont="1" applyFill="1" applyBorder="1" applyAlignment="1">
      <alignment horizontal="right" vertical="center" wrapText="1"/>
    </xf>
    <xf numFmtId="0" fontId="27" fillId="24" borderId="7" xfId="4" applyFont="1" applyFill="1" applyBorder="1" applyAlignment="1">
      <alignment horizontal="right" vertical="center" wrapText="1"/>
    </xf>
    <xf numFmtId="0" fontId="27" fillId="24" borderId="23" xfId="4" applyFont="1" applyFill="1" applyBorder="1" applyAlignment="1">
      <alignment horizontal="center" vertical="center" wrapText="1"/>
    </xf>
    <xf numFmtId="0" fontId="27" fillId="24" borderId="7" xfId="4" applyFont="1" applyFill="1" applyBorder="1" applyAlignment="1">
      <alignment horizontal="center" vertical="center" wrapText="1"/>
    </xf>
    <xf numFmtId="0" fontId="27" fillId="24" borderId="113" xfId="4" applyFont="1" applyFill="1" applyBorder="1" applyAlignment="1">
      <alignment horizontal="right" vertical="center"/>
    </xf>
    <xf numFmtId="0" fontId="27" fillId="24" borderId="54" xfId="4" applyFont="1" applyFill="1" applyBorder="1" applyAlignment="1">
      <alignment horizontal="right" vertical="center"/>
    </xf>
    <xf numFmtId="0" fontId="27" fillId="24" borderId="140" xfId="4" applyFont="1" applyFill="1" applyBorder="1" applyAlignment="1">
      <alignment horizontal="center" vertical="center"/>
    </xf>
    <xf numFmtId="0" fontId="27" fillId="24" borderId="144" xfId="4" applyFont="1" applyFill="1" applyBorder="1" applyAlignment="1">
      <alignment horizontal="center" vertical="center"/>
    </xf>
    <xf numFmtId="0" fontId="27" fillId="24" borderId="96" xfId="4" applyFont="1" applyFill="1" applyBorder="1" applyAlignment="1">
      <alignment horizontal="center" vertical="center"/>
    </xf>
    <xf numFmtId="10" fontId="26" fillId="22" borderId="67" xfId="5" applyNumberFormat="1" applyFont="1" applyFill="1" applyBorder="1" applyAlignment="1" applyProtection="1">
      <alignment horizontal="center" wrapText="1"/>
    </xf>
    <xf numFmtId="10" fontId="26" fillId="22" borderId="65" xfId="5" applyNumberFormat="1" applyFont="1" applyFill="1" applyBorder="1" applyAlignment="1" applyProtection="1">
      <alignment horizontal="center" wrapText="1"/>
    </xf>
    <xf numFmtId="0" fontId="71" fillId="23" borderId="1" xfId="4" applyFont="1" applyFill="1" applyBorder="1" applyAlignment="1">
      <alignment horizontal="left"/>
    </xf>
    <xf numFmtId="0" fontId="26" fillId="0" borderId="284" xfId="4" applyFont="1" applyBorder="1" applyAlignment="1">
      <alignment horizontal="center"/>
    </xf>
    <xf numFmtId="0" fontId="27" fillId="5" borderId="182" xfId="4" applyFont="1" applyFill="1" applyBorder="1" applyAlignment="1">
      <alignment vertical="center"/>
    </xf>
    <xf numFmtId="0" fontId="57" fillId="5" borderId="9" xfId="4" applyFont="1" applyFill="1" applyBorder="1" applyAlignment="1">
      <alignment horizontal="center" vertical="center"/>
    </xf>
    <xf numFmtId="0" fontId="57" fillId="5" borderId="0" xfId="4" applyFont="1" applyFill="1" applyAlignment="1">
      <alignment horizontal="center" vertical="center"/>
    </xf>
    <xf numFmtId="0" fontId="57" fillId="5" borderId="34" xfId="4" applyFont="1" applyFill="1" applyBorder="1" applyAlignment="1">
      <alignment horizontal="center" vertical="center"/>
    </xf>
    <xf numFmtId="0" fontId="57" fillId="5" borderId="35" xfId="4" applyFont="1" applyFill="1" applyBorder="1" applyAlignment="1">
      <alignment horizontal="center" vertical="center"/>
    </xf>
    <xf numFmtId="0" fontId="26" fillId="23" borderId="1" xfId="4" applyFont="1" applyFill="1" applyBorder="1" applyAlignment="1">
      <alignment horizontal="left"/>
    </xf>
    <xf numFmtId="0" fontId="26" fillId="23" borderId="2" xfId="4" applyFont="1" applyFill="1" applyBorder="1" applyAlignment="1">
      <alignment horizontal="left"/>
    </xf>
    <xf numFmtId="0" fontId="26" fillId="23" borderId="145" xfId="4" applyFont="1" applyFill="1" applyBorder="1" applyAlignment="1">
      <alignment horizontal="left"/>
    </xf>
    <xf numFmtId="0" fontId="30" fillId="17" borderId="236" xfId="4" applyFont="1" applyFill="1" applyBorder="1" applyAlignment="1">
      <alignment horizontal="center"/>
    </xf>
    <xf numFmtId="0" fontId="30" fillId="17" borderId="235" xfId="4" applyFont="1" applyFill="1" applyBorder="1" applyAlignment="1">
      <alignment horizontal="center"/>
    </xf>
    <xf numFmtId="0" fontId="30" fillId="17" borderId="246" xfId="4" applyFont="1" applyFill="1" applyBorder="1" applyAlignment="1">
      <alignment horizontal="center"/>
    </xf>
    <xf numFmtId="0" fontId="30" fillId="17" borderId="244" xfId="4" applyFont="1" applyFill="1" applyBorder="1" applyAlignment="1">
      <alignment horizontal="center"/>
    </xf>
    <xf numFmtId="0" fontId="26" fillId="22" borderId="4" xfId="4" applyFont="1" applyFill="1" applyBorder="1" applyAlignment="1">
      <alignment horizontal="left"/>
    </xf>
    <xf numFmtId="0" fontId="27" fillId="24" borderId="140" xfId="4" applyFont="1" applyFill="1" applyBorder="1" applyAlignment="1">
      <alignment horizontal="center"/>
    </xf>
    <xf numFmtId="0" fontId="27" fillId="24" borderId="144" xfId="4" applyFont="1" applyFill="1" applyBorder="1" applyAlignment="1">
      <alignment horizontal="center"/>
    </xf>
    <xf numFmtId="0" fontId="27" fillId="24" borderId="96" xfId="4" applyFont="1" applyFill="1" applyBorder="1" applyAlignment="1">
      <alignment horizontal="center"/>
    </xf>
    <xf numFmtId="49" fontId="30" fillId="0" borderId="212" xfId="4" applyNumberFormat="1" applyFont="1" applyBorder="1" applyAlignment="1">
      <alignment horizontal="right"/>
    </xf>
    <xf numFmtId="49" fontId="30" fillId="0" borderId="213" xfId="4" applyNumberFormat="1" applyFont="1" applyBorder="1" applyAlignment="1">
      <alignment horizontal="right"/>
    </xf>
    <xf numFmtId="0" fontId="57" fillId="5" borderId="1" xfId="4" applyFont="1" applyFill="1" applyBorder="1" applyAlignment="1">
      <alignment vertical="center" wrapText="1"/>
    </xf>
    <xf numFmtId="0" fontId="57" fillId="5" borderId="2" xfId="4" applyFont="1" applyFill="1" applyBorder="1" applyAlignment="1">
      <alignment vertical="center" wrapText="1"/>
    </xf>
    <xf numFmtId="0" fontId="57" fillId="0" borderId="212" xfId="4" applyFont="1" applyBorder="1" applyAlignment="1">
      <alignment horizontal="center"/>
    </xf>
    <xf numFmtId="0" fontId="57" fillId="0" borderId="213" xfId="4" applyFont="1" applyBorder="1" applyAlignment="1">
      <alignment horizontal="center"/>
    </xf>
    <xf numFmtId="0" fontId="30" fillId="0" borderId="241" xfId="4" applyFont="1" applyBorder="1" applyAlignment="1">
      <alignment horizontal="left"/>
    </xf>
    <xf numFmtId="0" fontId="30" fillId="0" borderId="242" xfId="4" applyFont="1" applyBorder="1" applyAlignment="1">
      <alignment horizontal="left"/>
    </xf>
    <xf numFmtId="0" fontId="30" fillId="0" borderId="243" xfId="4" applyFont="1" applyBorder="1" applyAlignment="1">
      <alignment horizontal="left"/>
    </xf>
    <xf numFmtId="49" fontId="57" fillId="0" borderId="186" xfId="4" applyNumberFormat="1" applyFont="1" applyBorder="1" applyAlignment="1">
      <alignment horizontal="center"/>
    </xf>
    <xf numFmtId="49" fontId="57" fillId="0" borderId="76" xfId="4" applyNumberFormat="1" applyFont="1" applyBorder="1" applyAlignment="1">
      <alignment horizontal="center"/>
    </xf>
    <xf numFmtId="0" fontId="30" fillId="17" borderId="239" xfId="4" applyFont="1" applyFill="1" applyBorder="1" applyAlignment="1">
      <alignment horizontal="center"/>
    </xf>
    <xf numFmtId="0" fontId="30" fillId="17" borderId="237" xfId="4" applyFont="1" applyFill="1" applyBorder="1" applyAlignment="1">
      <alignment horizontal="center"/>
    </xf>
    <xf numFmtId="0" fontId="30" fillId="17" borderId="245" xfId="4" applyFont="1" applyFill="1" applyBorder="1" applyAlignment="1">
      <alignment horizontal="center"/>
    </xf>
    <xf numFmtId="0" fontId="34" fillId="22" borderId="99" xfId="0" applyFont="1" applyFill="1" applyBorder="1" applyAlignment="1">
      <alignment horizontal="center"/>
    </xf>
    <xf numFmtId="0" fontId="34" fillId="22" borderId="100" xfId="0" applyFont="1" applyFill="1" applyBorder="1" applyAlignment="1">
      <alignment horizontal="center"/>
    </xf>
    <xf numFmtId="0" fontId="34" fillId="22" borderId="167" xfId="0" applyFont="1" applyFill="1" applyBorder="1" applyAlignment="1">
      <alignment horizontal="center"/>
    </xf>
    <xf numFmtId="165" fontId="30" fillId="5" borderId="217" xfId="7" applyNumberFormat="1" applyFont="1" applyFill="1" applyBorder="1" applyAlignment="1" applyProtection="1"/>
    <xf numFmtId="165" fontId="30" fillId="5" borderId="216" xfId="7" applyNumberFormat="1" applyFont="1" applyFill="1" applyBorder="1" applyAlignment="1" applyProtection="1"/>
    <xf numFmtId="9" fontId="26" fillId="22" borderId="62" xfId="6" applyFont="1" applyFill="1" applyBorder="1" applyAlignment="1" applyProtection="1">
      <alignment horizontal="center"/>
    </xf>
    <xf numFmtId="9" fontId="26" fillId="22" borderId="58" xfId="6" applyFont="1" applyFill="1" applyBorder="1" applyAlignment="1" applyProtection="1">
      <alignment horizontal="center"/>
    </xf>
    <xf numFmtId="165" fontId="30" fillId="5" borderId="73" xfId="7" applyNumberFormat="1" applyFont="1" applyFill="1" applyBorder="1" applyAlignment="1" applyProtection="1"/>
    <xf numFmtId="165" fontId="30" fillId="5" borderId="74" xfId="7" applyNumberFormat="1" applyFont="1" applyFill="1" applyBorder="1" applyAlignment="1" applyProtection="1"/>
    <xf numFmtId="0" fontId="27" fillId="5" borderId="206" xfId="4" applyFont="1" applyFill="1" applyBorder="1" applyAlignment="1">
      <alignment vertical="center"/>
    </xf>
    <xf numFmtId="9" fontId="27" fillId="16" borderId="219" xfId="6" applyFont="1" applyFill="1" applyBorder="1" applyAlignment="1" applyProtection="1">
      <alignment horizontal="center" wrapText="1"/>
    </xf>
    <xf numFmtId="9" fontId="27" fillId="16" borderId="8" xfId="6" applyFont="1" applyFill="1" applyBorder="1" applyAlignment="1" applyProtection="1">
      <alignment horizontal="center" wrapText="1"/>
    </xf>
    <xf numFmtId="9" fontId="27" fillId="16" borderId="147" xfId="6" applyFont="1" applyFill="1" applyBorder="1" applyAlignment="1" applyProtection="1">
      <alignment horizontal="center" wrapText="1"/>
    </xf>
    <xf numFmtId="0" fontId="27" fillId="24" borderId="109" xfId="4" applyFont="1" applyFill="1" applyBorder="1" applyAlignment="1">
      <alignment horizontal="center" vertical="center"/>
    </xf>
    <xf numFmtId="0" fontId="27" fillId="24" borderId="2" xfId="4" applyFont="1" applyFill="1" applyBorder="1" applyAlignment="1">
      <alignment horizontal="center" vertical="center"/>
    </xf>
    <xf numFmtId="0" fontId="27" fillId="24" borderId="145" xfId="4" applyFont="1" applyFill="1" applyBorder="1" applyAlignment="1">
      <alignment horizontal="center" vertical="center"/>
    </xf>
    <xf numFmtId="2" fontId="30" fillId="0" borderId="9" xfId="7" applyNumberFormat="1" applyFont="1" applyFill="1" applyBorder="1" applyAlignment="1" applyProtection="1">
      <alignment horizontal="center"/>
    </xf>
    <xf numFmtId="2" fontId="30" fillId="0" borderId="10" xfId="7" applyNumberFormat="1" applyFont="1" applyFill="1" applyBorder="1" applyAlignment="1" applyProtection="1">
      <alignment horizontal="center"/>
    </xf>
    <xf numFmtId="0" fontId="57" fillId="5" borderId="261" xfId="4" applyFont="1" applyFill="1" applyBorder="1" applyAlignment="1">
      <alignment vertical="center" wrapText="1"/>
    </xf>
    <xf numFmtId="0" fontId="27" fillId="5" borderId="224" xfId="4" applyFont="1" applyFill="1" applyBorder="1" applyAlignment="1">
      <alignment vertical="center" wrapText="1"/>
    </xf>
    <xf numFmtId="0" fontId="27" fillId="5" borderId="262" xfId="4" applyFont="1" applyFill="1" applyBorder="1" applyAlignment="1">
      <alignment vertical="center" wrapText="1"/>
    </xf>
    <xf numFmtId="0" fontId="57" fillId="0" borderId="57" xfId="4" applyFont="1" applyBorder="1" applyAlignment="1">
      <alignment horizontal="center"/>
    </xf>
    <xf numFmtId="49" fontId="57" fillId="0" borderId="73" xfId="4" applyNumberFormat="1" applyFont="1" applyBorder="1" applyAlignment="1">
      <alignment horizontal="center"/>
    </xf>
    <xf numFmtId="49" fontId="57" fillId="0" borderId="208" xfId="4" applyNumberFormat="1" applyFont="1" applyBorder="1" applyAlignment="1">
      <alignment horizontal="center"/>
    </xf>
    <xf numFmtId="49" fontId="57" fillId="0" borderId="39" xfId="4" applyNumberFormat="1" applyFont="1" applyBorder="1" applyAlignment="1">
      <alignment horizontal="center"/>
    </xf>
    <xf numFmtId="49" fontId="57" fillId="0" borderId="37" xfId="4" applyNumberFormat="1" applyFont="1" applyBorder="1" applyAlignment="1">
      <alignment horizontal="center"/>
    </xf>
    <xf numFmtId="49" fontId="57" fillId="0" borderId="34" xfId="4" applyNumberFormat="1" applyFont="1" applyBorder="1" applyAlignment="1">
      <alignment horizontal="center"/>
    </xf>
    <xf numFmtId="49" fontId="57" fillId="0" borderId="35" xfId="4" applyNumberFormat="1" applyFont="1" applyBorder="1" applyAlignment="1">
      <alignment horizontal="center"/>
    </xf>
    <xf numFmtId="0" fontId="30" fillId="0" borderId="214" xfId="4" applyFont="1" applyBorder="1" applyAlignment="1">
      <alignment horizontal="left"/>
    </xf>
    <xf numFmtId="0" fontId="30" fillId="0" borderId="37" xfId="4" applyFont="1" applyBorder="1" applyAlignment="1">
      <alignment horizontal="left"/>
    </xf>
    <xf numFmtId="0" fontId="30" fillId="0" borderId="40" xfId="4" applyFont="1" applyBorder="1" applyAlignment="1">
      <alignment horizontal="left"/>
    </xf>
    <xf numFmtId="0" fontId="57" fillId="0" borderId="72" xfId="4" applyFont="1" applyBorder="1" applyAlignment="1" applyProtection="1">
      <alignment horizontal="center"/>
      <protection locked="0"/>
    </xf>
    <xf numFmtId="0" fontId="57" fillId="0" borderId="52" xfId="4" applyFont="1" applyBorder="1" applyAlignment="1" applyProtection="1">
      <alignment horizontal="center"/>
      <protection locked="0"/>
    </xf>
    <xf numFmtId="49" fontId="30" fillId="0" borderId="47" xfId="4" applyNumberFormat="1" applyFont="1" applyBorder="1" applyAlignment="1">
      <alignment horizontal="right"/>
    </xf>
    <xf numFmtId="49" fontId="30" fillId="0" borderId="50" xfId="4" applyNumberFormat="1" applyFont="1" applyBorder="1" applyAlignment="1">
      <alignment horizontal="right"/>
    </xf>
    <xf numFmtId="2" fontId="30" fillId="0" borderId="73" xfId="3" applyNumberFormat="1" applyFont="1" applyFill="1" applyBorder="1" applyAlignment="1" applyProtection="1">
      <alignment horizontal="center"/>
    </xf>
    <xf numFmtId="2" fontId="30" fillId="0" borderId="74" xfId="3" applyNumberFormat="1" applyFont="1" applyFill="1" applyBorder="1" applyAlignment="1" applyProtection="1">
      <alignment horizontal="center"/>
    </xf>
    <xf numFmtId="0" fontId="27" fillId="24" borderId="174" xfId="4" applyFont="1" applyFill="1" applyBorder="1" applyAlignment="1">
      <alignment vertical="center" wrapText="1"/>
    </xf>
    <xf numFmtId="0" fontId="27" fillId="24" borderId="27" xfId="4" applyFont="1" applyFill="1" applyBorder="1" applyAlignment="1">
      <alignment vertical="center" wrapText="1"/>
    </xf>
    <xf numFmtId="0" fontId="27" fillId="24" borderId="111" xfId="4" applyFont="1" applyFill="1" applyBorder="1" applyAlignment="1">
      <alignment vertical="center" wrapText="1"/>
    </xf>
    <xf numFmtId="0" fontId="57" fillId="0" borderId="39" xfId="4" applyFont="1" applyBorder="1" applyAlignment="1" applyProtection="1">
      <alignment horizontal="center"/>
      <protection locked="0"/>
    </xf>
    <xf numFmtId="0" fontId="57" fillId="0" borderId="37" xfId="4" applyFont="1" applyBorder="1" applyAlignment="1" applyProtection="1">
      <alignment horizontal="center"/>
      <protection locked="0"/>
    </xf>
    <xf numFmtId="0" fontId="57" fillId="0" borderId="34" xfId="4" applyFont="1" applyBorder="1" applyAlignment="1" applyProtection="1">
      <alignment horizontal="center"/>
      <protection locked="0"/>
    </xf>
    <xf numFmtId="0" fontId="57" fillId="0" borderId="35" xfId="4" applyFont="1" applyBorder="1" applyAlignment="1" applyProtection="1">
      <alignment horizontal="center"/>
      <protection locked="0"/>
    </xf>
    <xf numFmtId="0" fontId="30" fillId="0" borderId="267" xfId="4" applyFont="1" applyBorder="1" applyAlignment="1">
      <alignment horizontal="left"/>
    </xf>
    <xf numFmtId="0" fontId="30" fillId="0" borderId="208" xfId="4" applyFont="1" applyBorder="1" applyAlignment="1">
      <alignment horizontal="left"/>
    </xf>
    <xf numFmtId="0" fontId="30" fillId="0" borderId="250" xfId="4" applyFont="1" applyBorder="1" applyAlignment="1">
      <alignment horizontal="left"/>
    </xf>
    <xf numFmtId="0" fontId="30" fillId="0" borderId="254" xfId="4" applyFont="1" applyBorder="1" applyAlignment="1">
      <alignment wrapText="1"/>
    </xf>
    <xf numFmtId="0" fontId="30" fillId="0" borderId="248" xfId="4" applyFont="1" applyBorder="1" applyAlignment="1">
      <alignment wrapText="1"/>
    </xf>
    <xf numFmtId="0" fontId="30" fillId="0" borderId="214" xfId="4" applyFont="1" applyBorder="1" applyAlignment="1">
      <alignment horizontal="left" vertical="center"/>
    </xf>
    <xf numFmtId="0" fontId="30" fillId="0" borderId="37" xfId="4" applyFont="1" applyBorder="1" applyAlignment="1">
      <alignment horizontal="left" vertical="center"/>
    </xf>
    <xf numFmtId="0" fontId="30" fillId="0" borderId="38" xfId="4" applyFont="1" applyBorder="1" applyAlignment="1">
      <alignment horizontal="left" vertical="center"/>
    </xf>
    <xf numFmtId="0" fontId="30" fillId="0" borderId="215" xfId="4" applyFont="1" applyBorder="1" applyAlignment="1">
      <alignment horizontal="left" vertical="center"/>
    </xf>
    <xf numFmtId="0" fontId="30" fillId="0" borderId="263" xfId="4" applyFont="1" applyBorder="1" applyAlignment="1">
      <alignment horizontal="left" vertical="center"/>
    </xf>
    <xf numFmtId="0" fontId="30" fillId="0" borderId="216" xfId="4" applyFont="1" applyBorder="1" applyAlignment="1">
      <alignment horizontal="left" vertical="center"/>
    </xf>
    <xf numFmtId="0" fontId="57" fillId="5" borderId="224" xfId="4" applyFont="1" applyFill="1" applyBorder="1" applyAlignment="1">
      <alignment vertical="center" wrapText="1"/>
    </xf>
    <xf numFmtId="0" fontId="57" fillId="5" borderId="262" xfId="4" applyFont="1" applyFill="1" applyBorder="1" applyAlignment="1">
      <alignment vertical="center" wrapText="1"/>
    </xf>
    <xf numFmtId="0" fontId="30" fillId="0" borderId="253" xfId="4" applyFont="1" applyBorder="1" applyAlignment="1">
      <alignment horizontal="left"/>
    </xf>
    <xf numFmtId="0" fontId="30" fillId="0" borderId="254" xfId="4" applyFont="1" applyBorder="1" applyAlignment="1">
      <alignment horizontal="left"/>
    </xf>
    <xf numFmtId="0" fontId="30" fillId="0" borderId="248" xfId="4" applyFont="1" applyBorder="1" applyAlignment="1">
      <alignment horizontal="left"/>
    </xf>
    <xf numFmtId="0" fontId="26" fillId="22" borderId="223" xfId="4" applyFont="1" applyFill="1" applyBorder="1" applyAlignment="1">
      <alignment horizontal="left"/>
    </xf>
    <xf numFmtId="0" fontId="26" fillId="22" borderId="224" xfId="4" applyFont="1" applyFill="1" applyBorder="1" applyAlignment="1">
      <alignment horizontal="left"/>
    </xf>
    <xf numFmtId="0" fontId="26" fillId="22" borderId="225" xfId="4" applyFont="1" applyFill="1" applyBorder="1" applyAlignment="1">
      <alignment horizontal="left"/>
    </xf>
    <xf numFmtId="0" fontId="30" fillId="0" borderId="46" xfId="4" applyFont="1" applyBorder="1" applyAlignment="1">
      <alignment horizontal="left"/>
    </xf>
    <xf numFmtId="0" fontId="30" fillId="0" borderId="214" xfId="4" applyFont="1" applyBorder="1" applyAlignment="1" applyProtection="1">
      <alignment horizontal="left" vertical="center"/>
      <protection locked="0"/>
    </xf>
    <xf numFmtId="0" fontId="30" fillId="0" borderId="38" xfId="4" applyFont="1" applyBorder="1" applyAlignment="1" applyProtection="1">
      <alignment horizontal="left" vertical="center"/>
      <protection locked="0"/>
    </xf>
    <xf numFmtId="0" fontId="26" fillId="22" borderId="1" xfId="4" applyFont="1" applyFill="1" applyBorder="1" applyAlignment="1" applyProtection="1">
      <alignment horizontal="left"/>
      <protection locked="0"/>
    </xf>
    <xf numFmtId="0" fontId="26" fillId="22" borderId="2" xfId="4" applyFont="1" applyFill="1" applyBorder="1" applyAlignment="1" applyProtection="1">
      <alignment horizontal="left"/>
      <protection locked="0"/>
    </xf>
    <xf numFmtId="49" fontId="27" fillId="0" borderId="0" xfId="4" applyNumberFormat="1" applyFont="1" applyAlignment="1" applyProtection="1">
      <alignment horizontal="left" vertical="center" wrapText="1"/>
      <protection locked="0"/>
    </xf>
    <xf numFmtId="0" fontId="27" fillId="5" borderId="1" xfId="4" applyFont="1" applyFill="1" applyBorder="1" applyAlignment="1" applyProtection="1">
      <alignment vertical="center"/>
      <protection locked="0"/>
    </xf>
    <xf numFmtId="0" fontId="27" fillId="5" borderId="2" xfId="4" applyFont="1" applyFill="1" applyBorder="1" applyAlignment="1" applyProtection="1">
      <alignment vertical="center"/>
      <protection locked="0"/>
    </xf>
    <xf numFmtId="9" fontId="27" fillId="16" borderId="219" xfId="6" applyFont="1" applyFill="1" applyBorder="1" applyAlignment="1" applyProtection="1">
      <alignment horizontal="center" wrapText="1"/>
      <protection locked="0"/>
    </xf>
    <xf numFmtId="9" fontId="27" fillId="16" borderId="8" xfId="6" applyFont="1" applyFill="1" applyBorder="1" applyAlignment="1" applyProtection="1">
      <alignment horizontal="center" wrapText="1"/>
      <protection locked="0"/>
    </xf>
    <xf numFmtId="9" fontId="27" fillId="16" borderId="147" xfId="6" applyFont="1" applyFill="1" applyBorder="1" applyAlignment="1" applyProtection="1">
      <alignment horizontal="center" wrapText="1"/>
      <protection locked="0"/>
    </xf>
    <xf numFmtId="0" fontId="30" fillId="0" borderId="50" xfId="4" applyFont="1" applyBorder="1" applyAlignment="1">
      <alignment horizontal="left" wrapText="1" indent="1"/>
    </xf>
    <xf numFmtId="0" fontId="30" fillId="0" borderId="213" xfId="4" applyFont="1" applyBorder="1" applyAlignment="1">
      <alignment horizontal="left" wrapText="1" indent="1"/>
    </xf>
    <xf numFmtId="0" fontId="26" fillId="22" borderId="145" xfId="4" applyFont="1" applyFill="1" applyBorder="1" applyAlignment="1" applyProtection="1">
      <alignment horizontal="left"/>
      <protection locked="0"/>
    </xf>
    <xf numFmtId="0" fontId="30" fillId="0" borderId="52" xfId="4" applyFont="1" applyBorder="1" applyAlignment="1" applyProtection="1">
      <alignment horizontal="left"/>
      <protection locked="0"/>
    </xf>
    <xf numFmtId="0" fontId="30" fillId="0" borderId="48" xfId="4" applyFont="1" applyBorder="1" applyAlignment="1" applyProtection="1">
      <alignment horizontal="left"/>
      <protection locked="0"/>
    </xf>
    <xf numFmtId="0" fontId="26" fillId="0" borderId="2" xfId="4" applyFont="1" applyBorder="1" applyAlignment="1" applyProtection="1">
      <alignment horizontal="center"/>
      <protection locked="0"/>
    </xf>
    <xf numFmtId="0" fontId="30" fillId="0" borderId="50" xfId="4" applyFont="1" applyBorder="1" applyAlignment="1" applyProtection="1">
      <alignment horizontal="left"/>
      <protection locked="0"/>
    </xf>
    <xf numFmtId="0" fontId="30" fillId="0" borderId="46" xfId="4" applyFont="1" applyBorder="1" applyAlignment="1" applyProtection="1">
      <alignment horizontal="left"/>
      <protection locked="0"/>
    </xf>
    <xf numFmtId="0" fontId="28" fillId="24" borderId="23" xfId="0" applyFont="1" applyFill="1" applyBorder="1" applyAlignment="1" applyProtection="1">
      <alignment horizontal="center" vertical="center"/>
      <protection locked="0"/>
    </xf>
    <xf numFmtId="0" fontId="28" fillId="24" borderId="18" xfId="0" applyFont="1" applyFill="1" applyBorder="1" applyAlignment="1" applyProtection="1">
      <alignment horizontal="center" vertical="center"/>
      <protection locked="0"/>
    </xf>
    <xf numFmtId="0" fontId="28" fillId="24" borderId="63" xfId="0" applyFont="1" applyFill="1" applyBorder="1" applyAlignment="1" applyProtection="1">
      <alignment horizontal="center" vertical="center"/>
      <protection locked="0"/>
    </xf>
    <xf numFmtId="0" fontId="28" fillId="24" borderId="102" xfId="0" applyFont="1" applyFill="1" applyBorder="1" applyAlignment="1" applyProtection="1">
      <alignment horizontal="center" vertical="center"/>
      <protection locked="0"/>
    </xf>
    <xf numFmtId="0" fontId="27" fillId="24" borderId="174" xfId="4" applyFont="1" applyFill="1" applyBorder="1" applyAlignment="1" applyProtection="1">
      <alignment vertical="center" wrapText="1"/>
      <protection locked="0"/>
    </xf>
    <xf numFmtId="0" fontId="27" fillId="24" borderId="27" xfId="4" applyFont="1" applyFill="1" applyBorder="1" applyAlignment="1" applyProtection="1">
      <alignment vertical="center" wrapText="1"/>
      <protection locked="0"/>
    </xf>
    <xf numFmtId="0" fontId="27" fillId="24" borderId="111" xfId="4" applyFont="1" applyFill="1" applyBorder="1" applyAlignment="1" applyProtection="1">
      <alignment vertical="center" wrapText="1"/>
      <protection locked="0"/>
    </xf>
    <xf numFmtId="0" fontId="27" fillId="24" borderId="23" xfId="4" applyFont="1" applyFill="1" applyBorder="1" applyAlignment="1" applyProtection="1">
      <alignment horizontal="right" vertical="center" wrapText="1"/>
      <protection locked="0"/>
    </xf>
    <xf numFmtId="0" fontId="27" fillId="24" borderId="7" xfId="4" applyFont="1" applyFill="1" applyBorder="1" applyAlignment="1" applyProtection="1">
      <alignment horizontal="right" vertical="center" wrapText="1"/>
      <protection locked="0"/>
    </xf>
    <xf numFmtId="0" fontId="27" fillId="24" borderId="23" xfId="4" applyFont="1" applyFill="1" applyBorder="1" applyAlignment="1" applyProtection="1">
      <alignment horizontal="center" vertical="center" wrapText="1"/>
      <protection locked="0"/>
    </xf>
    <xf numFmtId="0" fontId="27" fillId="24" borderId="112" xfId="4" applyFont="1" applyFill="1" applyBorder="1" applyAlignment="1" applyProtection="1">
      <alignment horizontal="center" vertical="center" wrapText="1"/>
      <protection locked="0"/>
    </xf>
    <xf numFmtId="0" fontId="27" fillId="24" borderId="7" xfId="4" applyFont="1" applyFill="1" applyBorder="1" applyAlignment="1" applyProtection="1">
      <alignment horizontal="center" vertical="center" wrapText="1"/>
      <protection locked="0"/>
    </xf>
    <xf numFmtId="0" fontId="27" fillId="24" borderId="11" xfId="4" applyFont="1" applyFill="1" applyBorder="1" applyAlignment="1" applyProtection="1">
      <alignment horizontal="center" vertical="center" wrapText="1"/>
      <protection locked="0"/>
    </xf>
    <xf numFmtId="0" fontId="27" fillId="24" borderId="113" xfId="4" applyFont="1" applyFill="1" applyBorder="1" applyAlignment="1" applyProtection="1">
      <alignment horizontal="right" vertical="center"/>
      <protection locked="0"/>
    </xf>
    <xf numFmtId="0" fontId="27" fillId="24" borderId="54" xfId="4" applyFont="1" applyFill="1" applyBorder="1" applyAlignment="1" applyProtection="1">
      <alignment horizontal="right" vertical="center"/>
      <protection locked="0"/>
    </xf>
    <xf numFmtId="0" fontId="26" fillId="24" borderId="176" xfId="4" applyFont="1" applyFill="1" applyBorder="1" applyAlignment="1" applyProtection="1">
      <alignment horizontal="center" vertical="center" wrapText="1"/>
      <protection locked="0"/>
    </xf>
    <xf numFmtId="0" fontId="26" fillId="24" borderId="174" xfId="4" applyFont="1" applyFill="1" applyBorder="1" applyAlignment="1" applyProtection="1">
      <alignment horizontal="center" vertical="center" wrapText="1"/>
      <protection locked="0"/>
    </xf>
    <xf numFmtId="0" fontId="26" fillId="24" borderId="177" xfId="4" applyFont="1" applyFill="1" applyBorder="1" applyAlignment="1" applyProtection="1">
      <alignment horizontal="center" vertical="center" wrapText="1"/>
      <protection locked="0"/>
    </xf>
    <xf numFmtId="0" fontId="53" fillId="0" borderId="178" xfId="4" applyFont="1" applyBorder="1" applyAlignment="1" applyProtection="1">
      <alignment horizontal="left" vertical="center" wrapText="1"/>
      <protection locked="0"/>
    </xf>
    <xf numFmtId="0" fontId="27" fillId="24" borderId="198" xfId="4" applyFont="1" applyFill="1" applyBorder="1" applyAlignment="1" applyProtection="1">
      <alignment horizontal="center"/>
      <protection locked="0"/>
    </xf>
    <xf numFmtId="0" fontId="27" fillId="24" borderId="199" xfId="4" applyFont="1" applyFill="1" applyBorder="1" applyAlignment="1" applyProtection="1">
      <alignment horizontal="center"/>
      <protection locked="0"/>
    </xf>
    <xf numFmtId="0" fontId="27" fillId="24" borderId="200" xfId="4" applyFont="1" applyFill="1" applyBorder="1" applyAlignment="1" applyProtection="1">
      <alignment horizontal="center"/>
      <protection locked="0"/>
    </xf>
    <xf numFmtId="0" fontId="27" fillId="24" borderId="113" xfId="4" applyFont="1" applyFill="1" applyBorder="1" applyAlignment="1" applyProtection="1">
      <alignment horizontal="center" vertical="center" wrapText="1"/>
      <protection locked="0"/>
    </xf>
    <xf numFmtId="0" fontId="27" fillId="24" borderId="6" xfId="4" applyFont="1" applyFill="1" applyBorder="1" applyAlignment="1" applyProtection="1">
      <alignment horizontal="center" vertical="center" wrapText="1"/>
      <protection locked="0"/>
    </xf>
    <xf numFmtId="0" fontId="26" fillId="22" borderId="7" xfId="4" applyFont="1" applyFill="1" applyBorder="1" applyAlignment="1" applyProtection="1">
      <alignment horizontal="left"/>
      <protection locked="0"/>
    </xf>
    <xf numFmtId="0" fontId="26" fillId="22" borderId="222" xfId="4" applyFont="1" applyFill="1" applyBorder="1" applyAlignment="1" applyProtection="1">
      <alignment horizontal="left"/>
      <protection locked="0"/>
    </xf>
    <xf numFmtId="0" fontId="32" fillId="23" borderId="1" xfId="4" applyFont="1" applyFill="1" applyBorder="1" applyAlignment="1" applyProtection="1">
      <alignment horizontal="left"/>
      <protection locked="0"/>
    </xf>
    <xf numFmtId="0" fontId="32" fillId="23" borderId="2" xfId="4" applyFont="1" applyFill="1" applyBorder="1" applyAlignment="1" applyProtection="1">
      <alignment horizontal="left"/>
      <protection locked="0"/>
    </xf>
    <xf numFmtId="0" fontId="30" fillId="0" borderId="53" xfId="4" applyFont="1" applyBorder="1" applyAlignment="1" applyProtection="1">
      <alignment horizontal="left"/>
      <protection locked="0"/>
    </xf>
    <xf numFmtId="0" fontId="30" fillId="0" borderId="90" xfId="4" applyFont="1" applyBorder="1" applyAlignment="1" applyProtection="1">
      <alignment horizontal="left"/>
      <protection locked="0"/>
    </xf>
    <xf numFmtId="0" fontId="30" fillId="0" borderId="266" xfId="4" applyFont="1" applyBorder="1" applyAlignment="1" applyProtection="1">
      <alignment horizontal="left"/>
      <protection locked="0"/>
    </xf>
    <xf numFmtId="0" fontId="30" fillId="0" borderId="213" xfId="4" applyFont="1" applyBorder="1" applyAlignment="1" applyProtection="1">
      <alignment horizontal="left"/>
      <protection locked="0"/>
    </xf>
    <xf numFmtId="0" fontId="30" fillId="0" borderId="268" xfId="4" applyFont="1" applyBorder="1" applyAlignment="1" applyProtection="1">
      <alignment horizontal="left"/>
      <protection locked="0"/>
    </xf>
    <xf numFmtId="0" fontId="27" fillId="24" borderId="140" xfId="4" applyFont="1" applyFill="1" applyBorder="1" applyAlignment="1" applyProtection="1">
      <alignment horizontal="center"/>
      <protection locked="0"/>
    </xf>
    <xf numFmtId="0" fontId="27" fillId="24" borderId="144" xfId="4" applyFont="1" applyFill="1" applyBorder="1" applyAlignment="1" applyProtection="1">
      <alignment horizontal="center"/>
      <protection locked="0"/>
    </xf>
    <xf numFmtId="0" fontId="27" fillId="24" borderId="96" xfId="4" applyFont="1" applyFill="1" applyBorder="1" applyAlignment="1" applyProtection="1">
      <alignment horizontal="center"/>
      <protection locked="0"/>
    </xf>
    <xf numFmtId="0" fontId="30" fillId="0" borderId="211" xfId="4" applyFont="1" applyBorder="1" applyAlignment="1">
      <alignment horizontal="left" wrapText="1" indent="1"/>
    </xf>
    <xf numFmtId="5" fontId="27" fillId="24" borderId="14" xfId="2" applyNumberFormat="1" applyFont="1" applyFill="1" applyBorder="1" applyAlignment="1" applyProtection="1">
      <alignment horizontal="center"/>
      <protection locked="0"/>
    </xf>
    <xf numFmtId="5" fontId="27" fillId="24" borderId="15" xfId="2" applyNumberFormat="1" applyFont="1" applyFill="1" applyBorder="1" applyAlignment="1" applyProtection="1">
      <alignment horizontal="center"/>
      <protection locked="0"/>
    </xf>
    <xf numFmtId="0" fontId="26" fillId="0" borderId="145" xfId="4" applyFont="1" applyBorder="1" applyAlignment="1" applyProtection="1">
      <alignment horizontal="center"/>
      <protection locked="0"/>
    </xf>
    <xf numFmtId="0" fontId="57" fillId="0" borderId="47" xfId="4" applyFont="1" applyBorder="1" applyAlignment="1" applyProtection="1">
      <alignment horizontal="center"/>
      <protection locked="0"/>
    </xf>
    <xf numFmtId="0" fontId="57" fillId="0" borderId="50" xfId="4" applyFont="1" applyBorder="1" applyAlignment="1" applyProtection="1">
      <alignment horizontal="center"/>
      <protection locked="0"/>
    </xf>
    <xf numFmtId="0" fontId="32" fillId="23" borderId="145" xfId="4" applyFont="1" applyFill="1" applyBorder="1" applyAlignment="1" applyProtection="1">
      <alignment horizontal="left"/>
      <protection locked="0"/>
    </xf>
    <xf numFmtId="0" fontId="71" fillId="23" borderId="1" xfId="4" applyFont="1" applyFill="1" applyBorder="1" applyAlignment="1" applyProtection="1">
      <alignment horizontal="left"/>
      <protection locked="0"/>
    </xf>
    <xf numFmtId="0" fontId="26" fillId="23" borderId="1" xfId="4" applyFont="1" applyFill="1" applyBorder="1" applyAlignment="1" applyProtection="1">
      <alignment horizontal="left"/>
      <protection locked="0"/>
    </xf>
    <xf numFmtId="0" fontId="26" fillId="23" borderId="2" xfId="4" applyFont="1" applyFill="1" applyBorder="1" applyAlignment="1" applyProtection="1">
      <alignment horizontal="left"/>
      <protection locked="0"/>
    </xf>
    <xf numFmtId="0" fontId="26" fillId="23" borderId="145" xfId="4" applyFont="1" applyFill="1" applyBorder="1" applyAlignment="1" applyProtection="1">
      <alignment horizontal="left"/>
      <protection locked="0"/>
    </xf>
    <xf numFmtId="0" fontId="30" fillId="0" borderId="211" xfId="4" applyFont="1" applyBorder="1" applyAlignment="1" applyProtection="1">
      <alignment horizontal="left"/>
      <protection locked="0"/>
    </xf>
    <xf numFmtId="0" fontId="57" fillId="0" borderId="212" xfId="4" applyFont="1" applyBorder="1" applyAlignment="1" applyProtection="1">
      <alignment horizontal="center"/>
      <protection locked="0"/>
    </xf>
    <xf numFmtId="0" fontId="57" fillId="0" borderId="213" xfId="4" applyFont="1" applyBorder="1" applyAlignment="1" applyProtection="1">
      <alignment horizontal="center"/>
      <protection locked="0"/>
    </xf>
    <xf numFmtId="0" fontId="57" fillId="0" borderId="290" xfId="4" applyFont="1" applyBorder="1" applyAlignment="1" applyProtection="1">
      <alignment horizontal="center"/>
      <protection locked="0"/>
    </xf>
    <xf numFmtId="0" fontId="57" fillId="0" borderId="291" xfId="4" applyFont="1" applyBorder="1" applyAlignment="1" applyProtection="1">
      <alignment horizontal="center"/>
      <protection locked="0"/>
    </xf>
    <xf numFmtId="0" fontId="26" fillId="0" borderId="146" xfId="4" applyFont="1" applyBorder="1" applyAlignment="1">
      <alignment horizontal="center"/>
    </xf>
    <xf numFmtId="0" fontId="26" fillId="0" borderId="37" xfId="4" applyFont="1" applyBorder="1" applyAlignment="1">
      <alignment horizontal="center"/>
    </xf>
    <xf numFmtId="0" fontId="30" fillId="5" borderId="37" xfId="4" applyFont="1" applyFill="1" applyBorder="1" applyAlignment="1">
      <alignment horizontal="right" vertical="center"/>
    </xf>
    <xf numFmtId="0" fontId="30" fillId="5" borderId="289" xfId="4" applyFont="1" applyFill="1" applyBorder="1" applyAlignment="1">
      <alignment horizontal="right" vertical="center"/>
    </xf>
    <xf numFmtId="0" fontId="25" fillId="0" borderId="37" xfId="0" applyFont="1" applyBorder="1" applyAlignment="1">
      <alignment horizontal="right"/>
    </xf>
    <xf numFmtId="0" fontId="25" fillId="0" borderId="289" xfId="0" applyFont="1" applyBorder="1" applyAlignment="1">
      <alignment horizontal="right"/>
    </xf>
    <xf numFmtId="0" fontId="25" fillId="0" borderId="33" xfId="0" applyFont="1" applyBorder="1" applyAlignment="1">
      <alignment horizontal="right"/>
    </xf>
    <xf numFmtId="0" fontId="25" fillId="0" borderId="160" xfId="0" applyFont="1" applyBorder="1" applyAlignment="1">
      <alignment horizontal="right"/>
    </xf>
    <xf numFmtId="0" fontId="25" fillId="0" borderId="0" xfId="0" applyFont="1" applyAlignment="1">
      <alignment horizontal="right"/>
    </xf>
    <xf numFmtId="0" fontId="25" fillId="0" borderId="26" xfId="0" applyFont="1" applyBorder="1" applyAlignment="1">
      <alignment horizontal="right"/>
    </xf>
    <xf numFmtId="0" fontId="30" fillId="5" borderId="254" xfId="4" applyFont="1" applyFill="1" applyBorder="1" applyAlignment="1">
      <alignment horizontal="right" vertical="center"/>
    </xf>
    <xf numFmtId="0" fontId="30" fillId="5" borderId="288" xfId="4" applyFont="1" applyFill="1" applyBorder="1" applyAlignment="1">
      <alignment horizontal="right" vertical="center"/>
    </xf>
    <xf numFmtId="0" fontId="32" fillId="5" borderId="22" xfId="4" applyFont="1" applyFill="1" applyBorder="1" applyAlignment="1">
      <alignment horizontal="center" vertical="center" wrapText="1"/>
    </xf>
    <xf numFmtId="0" fontId="32" fillId="5" borderId="25" xfId="4" applyFont="1" applyFill="1" applyBorder="1" applyAlignment="1">
      <alignment horizontal="center" vertical="center" wrapText="1"/>
    </xf>
    <xf numFmtId="0" fontId="32" fillId="5" borderId="19" xfId="4" applyFont="1" applyFill="1" applyBorder="1" applyAlignment="1">
      <alignment horizontal="center" vertical="center" wrapText="1"/>
    </xf>
    <xf numFmtId="0" fontId="25" fillId="0" borderId="14" xfId="0" applyFont="1" applyBorder="1" applyAlignment="1">
      <alignment horizontal="center"/>
    </xf>
    <xf numFmtId="0" fontId="25" fillId="0" borderId="16" xfId="0" applyFont="1" applyBorder="1" applyAlignment="1">
      <alignment horizontal="center"/>
    </xf>
    <xf numFmtId="2" fontId="30" fillId="0" borderId="231" xfId="6" applyNumberFormat="1" applyFont="1" applyBorder="1" applyAlignment="1" applyProtection="1">
      <alignment horizontal="center"/>
      <protection locked="0"/>
    </xf>
    <xf numFmtId="2" fontId="30" fillId="0" borderId="11" xfId="6" applyNumberFormat="1" applyFont="1" applyBorder="1" applyAlignment="1" applyProtection="1">
      <alignment horizontal="center"/>
      <protection locked="0"/>
    </xf>
    <xf numFmtId="2" fontId="30" fillId="0" borderId="146" xfId="5" applyNumberFormat="1" applyFont="1" applyBorder="1" applyAlignment="1" applyProtection="1">
      <alignment horizontal="center"/>
      <protection locked="0"/>
    </xf>
    <xf numFmtId="2" fontId="30" fillId="0" borderId="38" xfId="5" applyNumberFormat="1" applyFont="1" applyBorder="1" applyAlignment="1" applyProtection="1">
      <alignment horizontal="center"/>
      <protection locked="0"/>
    </xf>
    <xf numFmtId="0" fontId="25" fillId="0" borderId="231" xfId="0" applyFont="1" applyBorder="1" applyAlignment="1">
      <alignment horizontal="center"/>
    </xf>
    <xf numFmtId="0" fontId="25" fillId="0" borderId="7" xfId="0" applyFont="1" applyBorder="1" applyAlignment="1">
      <alignment horizontal="center"/>
    </xf>
    <xf numFmtId="0" fontId="26" fillId="7" borderId="110" xfId="4" applyFont="1" applyFill="1" applyBorder="1" applyAlignment="1">
      <alignment horizontal="center" wrapText="1"/>
    </xf>
    <xf numFmtId="0" fontId="26" fillId="7" borderId="56" xfId="4" applyFont="1" applyFill="1" applyBorder="1" applyAlignment="1">
      <alignment horizontal="center" wrapText="1"/>
    </xf>
    <xf numFmtId="0" fontId="26" fillId="7" borderId="63" xfId="4" applyFont="1" applyFill="1" applyBorder="1" applyAlignment="1">
      <alignment horizontal="center" wrapText="1"/>
    </xf>
    <xf numFmtId="0" fontId="26" fillId="7" borderId="102" xfId="4" applyFont="1" applyFill="1" applyBorder="1" applyAlignment="1">
      <alignment horizontal="center" wrapText="1"/>
    </xf>
    <xf numFmtId="0" fontId="26" fillId="0" borderId="17" xfId="4" applyFont="1" applyBorder="1" applyAlignment="1">
      <alignment horizontal="center"/>
    </xf>
    <xf numFmtId="0" fontId="26" fillId="0" borderId="27" xfId="4" applyFont="1" applyBorder="1" applyAlignment="1">
      <alignment horizontal="center"/>
    </xf>
    <xf numFmtId="0" fontId="26" fillId="7" borderId="99" xfId="4" applyFont="1" applyFill="1" applyBorder="1" applyAlignment="1">
      <alignment horizontal="center" wrapText="1"/>
    </xf>
    <xf numFmtId="0" fontId="26" fillId="7" borderId="100" xfId="4" applyFont="1" applyFill="1" applyBorder="1" applyAlignment="1">
      <alignment horizontal="center" wrapText="1"/>
    </xf>
    <xf numFmtId="0" fontId="26" fillId="7" borderId="167" xfId="4" applyFont="1" applyFill="1" applyBorder="1" applyAlignment="1">
      <alignment horizontal="center" wrapText="1"/>
    </xf>
    <xf numFmtId="0" fontId="26" fillId="7" borderId="101" xfId="4" applyFont="1" applyFill="1" applyBorder="1" applyAlignment="1">
      <alignment horizontal="center" wrapText="1"/>
    </xf>
    <xf numFmtId="166" fontId="30" fillId="0" borderId="24" xfId="6" applyNumberFormat="1" applyFont="1" applyFill="1" applyBorder="1" applyAlignment="1" applyProtection="1">
      <alignment horizontal="center"/>
      <protection locked="0"/>
    </xf>
    <xf numFmtId="166" fontId="30" fillId="0" borderId="10" xfId="6" applyNumberFormat="1" applyFont="1" applyFill="1" applyBorder="1" applyAlignment="1" applyProtection="1">
      <alignment horizontal="center"/>
      <protection locked="0"/>
    </xf>
    <xf numFmtId="0" fontId="26" fillId="0" borderId="207" xfId="4" applyFont="1" applyBorder="1" applyAlignment="1">
      <alignment horizontal="center"/>
    </xf>
    <xf numFmtId="0" fontId="26" fillId="0" borderId="208" xfId="4" applyFont="1" applyBorder="1" applyAlignment="1">
      <alignment horizontal="center"/>
    </xf>
    <xf numFmtId="0" fontId="26" fillId="0" borderId="230" xfId="4" applyFont="1" applyBorder="1" applyAlignment="1">
      <alignment horizontal="center"/>
    </xf>
    <xf numFmtId="0" fontId="26" fillId="0" borderId="228" xfId="4" applyFont="1" applyBorder="1" applyAlignment="1">
      <alignment horizontal="center"/>
    </xf>
    <xf numFmtId="0" fontId="26" fillId="7" borderId="206" xfId="4" applyFont="1" applyFill="1" applyBorder="1" applyAlignment="1">
      <alignment horizontal="center" wrapText="1"/>
    </xf>
    <xf numFmtId="0" fontId="26" fillId="0" borderId="104" xfId="4" applyFont="1" applyBorder="1" applyAlignment="1">
      <alignment horizontal="center"/>
    </xf>
    <xf numFmtId="0" fontId="26" fillId="0" borderId="28" xfId="4" applyFont="1" applyBorder="1" applyAlignment="1">
      <alignment horizontal="center"/>
    </xf>
    <xf numFmtId="10" fontId="26" fillId="24" borderId="233" xfId="5" applyNumberFormat="1" applyFont="1" applyFill="1" applyBorder="1" applyAlignment="1" applyProtection="1">
      <alignment horizontal="center" wrapText="1"/>
      <protection locked="0"/>
    </xf>
    <xf numFmtId="10" fontId="26" fillId="24" borderId="225" xfId="5" applyNumberFormat="1" applyFont="1" applyFill="1" applyBorder="1" applyAlignment="1" applyProtection="1">
      <alignment horizontal="center" wrapText="1"/>
      <protection locked="0"/>
    </xf>
    <xf numFmtId="2" fontId="30" fillId="0" borderId="232" xfId="5" applyNumberFormat="1" applyFont="1" applyFill="1" applyBorder="1" applyAlignment="1" applyProtection="1">
      <alignment horizontal="center"/>
      <protection locked="0"/>
    </xf>
    <xf numFmtId="2" fontId="30" fillId="0" borderId="168" xfId="5" applyNumberFormat="1" applyFont="1" applyFill="1" applyBorder="1" applyAlignment="1" applyProtection="1">
      <alignment horizontal="center"/>
      <protection locked="0"/>
    </xf>
    <xf numFmtId="2" fontId="30" fillId="0" borderId="146" xfId="5" applyNumberFormat="1" applyFont="1" applyFill="1" applyBorder="1" applyAlignment="1" applyProtection="1">
      <alignment horizontal="center"/>
      <protection locked="0"/>
    </xf>
    <xf numFmtId="2" fontId="30" fillId="0" borderId="38" xfId="5" applyNumberFormat="1" applyFont="1" applyFill="1" applyBorder="1" applyAlignment="1" applyProtection="1">
      <alignment horizontal="center"/>
      <protection locked="0"/>
    </xf>
    <xf numFmtId="10" fontId="26" fillId="24" borderId="109" xfId="5" applyNumberFormat="1" applyFont="1" applyFill="1" applyBorder="1" applyAlignment="1" applyProtection="1">
      <alignment horizontal="center" wrapText="1"/>
      <protection locked="0"/>
    </xf>
    <xf numFmtId="10" fontId="26" fillId="24" borderId="148" xfId="5" applyNumberFormat="1" applyFont="1" applyFill="1" applyBorder="1" applyAlignment="1" applyProtection="1">
      <alignment horizontal="center" wrapText="1"/>
      <protection locked="0"/>
    </xf>
    <xf numFmtId="0" fontId="25" fillId="0" borderId="140" xfId="0" applyFont="1" applyBorder="1" applyAlignment="1">
      <alignment horizontal="center"/>
    </xf>
    <xf numFmtId="0" fontId="25" fillId="0" borderId="144" xfId="0" applyFont="1" applyBorder="1" applyAlignment="1">
      <alignment horizontal="center"/>
    </xf>
    <xf numFmtId="0" fontId="25" fillId="0" borderId="96" xfId="0" applyFont="1" applyBorder="1" applyAlignment="1">
      <alignment horizontal="center"/>
    </xf>
    <xf numFmtId="0" fontId="26" fillId="7" borderId="99" xfId="4" applyFont="1" applyFill="1" applyBorder="1" applyAlignment="1">
      <alignment wrapText="1"/>
    </xf>
    <xf numFmtId="0" fontId="26" fillId="7" borderId="100" xfId="4" applyFont="1" applyFill="1" applyBorder="1" applyAlignment="1">
      <alignment wrapText="1"/>
    </xf>
    <xf numFmtId="0" fontId="26" fillId="7" borderId="167" xfId="4" applyFont="1" applyFill="1" applyBorder="1" applyAlignment="1">
      <alignment wrapText="1"/>
    </xf>
    <xf numFmtId="0" fontId="26" fillId="24" borderId="103" xfId="4" applyFont="1" applyFill="1" applyBorder="1" applyAlignment="1">
      <alignment horizontal="center" wrapText="1"/>
    </xf>
    <xf numFmtId="0" fontId="26" fillId="24" borderId="65" xfId="4" applyFont="1" applyFill="1" applyBorder="1" applyAlignment="1">
      <alignment horizontal="center" wrapText="1"/>
    </xf>
    <xf numFmtId="2" fontId="30" fillId="0" borderId="230" xfId="5" applyNumberFormat="1" applyFont="1" applyBorder="1" applyAlignment="1" applyProtection="1">
      <alignment horizontal="center"/>
      <protection locked="0"/>
    </xf>
    <xf numFmtId="2" fontId="30" fillId="0" borderId="229" xfId="5" applyNumberFormat="1" applyFont="1" applyBorder="1" applyAlignment="1" applyProtection="1">
      <alignment horizontal="center"/>
      <protection locked="0"/>
    </xf>
    <xf numFmtId="0" fontId="26" fillId="7" borderId="109" xfId="4" applyFont="1" applyFill="1" applyBorder="1" applyAlignment="1">
      <alignment wrapText="1"/>
    </xf>
    <xf numFmtId="0" fontId="26" fillId="7" borderId="2" xfId="4" applyFont="1" applyFill="1" applyBorder="1" applyAlignment="1">
      <alignment wrapText="1"/>
    </xf>
    <xf numFmtId="0" fontId="26" fillId="7" borderId="145" xfId="4" applyFont="1" applyFill="1" applyBorder="1" applyAlignment="1">
      <alignment wrapText="1"/>
    </xf>
    <xf numFmtId="0" fontId="25" fillId="0" borderId="15" xfId="0" applyFont="1" applyBorder="1" applyAlignment="1">
      <alignment horizontal="center"/>
    </xf>
    <xf numFmtId="0" fontId="32" fillId="27" borderId="21" xfId="4" applyFont="1" applyFill="1" applyBorder="1" applyAlignment="1">
      <alignment horizontal="center" vertical="center" wrapText="1"/>
    </xf>
    <xf numFmtId="0" fontId="32" fillId="27" borderId="23" xfId="4" applyFont="1" applyFill="1" applyBorder="1" applyAlignment="1">
      <alignment horizontal="center" vertical="center" wrapText="1"/>
    </xf>
    <xf numFmtId="0" fontId="32" fillId="27" borderId="18" xfId="4" applyFont="1" applyFill="1" applyBorder="1" applyAlignment="1">
      <alignment horizontal="center" vertical="center" wrapText="1"/>
    </xf>
    <xf numFmtId="0" fontId="32" fillId="27" borderId="17" xfId="4" applyFont="1" applyFill="1" applyBorder="1" applyAlignment="1">
      <alignment horizontal="center" vertical="center" wrapText="1"/>
    </xf>
    <xf numFmtId="0" fontId="32" fillId="27" borderId="27" xfId="4" applyFont="1" applyFill="1" applyBorder="1" applyAlignment="1">
      <alignment horizontal="center" vertical="center" wrapText="1"/>
    </xf>
    <xf numFmtId="0" fontId="32" fillId="27" borderId="20" xfId="4" applyFont="1" applyFill="1" applyBorder="1" applyAlignment="1">
      <alignment horizontal="center" vertical="center" wrapText="1"/>
    </xf>
    <xf numFmtId="2" fontId="30" fillId="0" borderId="104" xfId="6" applyNumberFormat="1" applyFont="1" applyBorder="1" applyAlignment="1" applyProtection="1">
      <alignment horizontal="center"/>
      <protection locked="0"/>
    </xf>
    <xf numFmtId="2" fontId="30" fillId="0" borderId="61" xfId="6" applyNumberFormat="1" applyFont="1" applyBorder="1" applyAlignment="1" applyProtection="1">
      <alignment horizontal="center"/>
      <protection locked="0"/>
    </xf>
    <xf numFmtId="9" fontId="26" fillId="24" borderId="103" xfId="6" applyFont="1" applyFill="1" applyBorder="1" applyAlignment="1" applyProtection="1">
      <alignment horizontal="center" wrapText="1"/>
    </xf>
    <xf numFmtId="9" fontId="26" fillId="24" borderId="58" xfId="6" applyFont="1" applyFill="1" applyBorder="1" applyAlignment="1" applyProtection="1">
      <alignment horizontal="center" wrapText="1"/>
    </xf>
    <xf numFmtId="0" fontId="26" fillId="7" borderId="140" xfId="4" applyFont="1" applyFill="1" applyBorder="1" applyAlignment="1">
      <alignment wrapText="1"/>
    </xf>
    <xf numFmtId="0" fontId="26" fillId="7" borderId="144" xfId="4" applyFont="1" applyFill="1" applyBorder="1" applyAlignment="1">
      <alignment wrapText="1"/>
    </xf>
    <xf numFmtId="0" fontId="26" fillId="7" borderId="96" xfId="4" applyFont="1" applyFill="1" applyBorder="1" applyAlignment="1">
      <alignment wrapText="1"/>
    </xf>
    <xf numFmtId="0" fontId="26" fillId="7" borderId="21" xfId="4" applyFont="1" applyFill="1" applyBorder="1" applyAlignment="1">
      <alignment wrapText="1"/>
    </xf>
    <xf numFmtId="0" fontId="26" fillId="7" borderId="23" xfId="4" applyFont="1" applyFill="1" applyBorder="1" applyAlignment="1">
      <alignment wrapText="1"/>
    </xf>
    <xf numFmtId="0" fontId="26" fillId="7" borderId="18" xfId="4" applyFont="1" applyFill="1" applyBorder="1" applyAlignment="1">
      <alignment wrapText="1"/>
    </xf>
    <xf numFmtId="166" fontId="30" fillId="0" borderId="104" xfId="6" applyNumberFormat="1" applyFont="1" applyFill="1" applyBorder="1" applyAlignment="1" applyProtection="1">
      <alignment horizontal="center"/>
      <protection locked="0"/>
    </xf>
    <xf numFmtId="166" fontId="30" fillId="0" borderId="61" xfId="6" applyNumberFormat="1" applyFont="1" applyFill="1" applyBorder="1" applyAlignment="1" applyProtection="1">
      <alignment horizontal="center"/>
      <protection locked="0"/>
    </xf>
    <xf numFmtId="166" fontId="30" fillId="0" borderId="24" xfId="6" applyNumberFormat="1" applyFont="1" applyBorder="1" applyAlignment="1" applyProtection="1">
      <alignment horizontal="center"/>
      <protection locked="0"/>
    </xf>
    <xf numFmtId="166" fontId="30" fillId="0" borderId="10" xfId="6" applyNumberFormat="1" applyFont="1" applyBorder="1" applyAlignment="1" applyProtection="1">
      <alignment horizontal="center"/>
      <protection locked="0"/>
    </xf>
    <xf numFmtId="0" fontId="32" fillId="5" borderId="18" xfId="4" applyFont="1" applyFill="1" applyBorder="1" applyAlignment="1">
      <alignment horizontal="center" vertical="center" wrapText="1"/>
    </xf>
    <xf numFmtId="0" fontId="32" fillId="5" borderId="26" xfId="4" applyFont="1" applyFill="1" applyBorder="1" applyAlignment="1">
      <alignment horizontal="center" vertical="center" wrapText="1"/>
    </xf>
    <xf numFmtId="0" fontId="32" fillId="5" borderId="20" xfId="4" applyFont="1" applyFill="1" applyBorder="1" applyAlignment="1">
      <alignment horizontal="center" vertical="center" wrapText="1"/>
    </xf>
    <xf numFmtId="1" fontId="32" fillId="27" borderId="21" xfId="4" applyNumberFormat="1" applyFont="1" applyFill="1" applyBorder="1" applyAlignment="1">
      <alignment horizontal="center" vertical="center"/>
    </xf>
    <xf numFmtId="1" fontId="32" fillId="27" borderId="23" xfId="4" applyNumberFormat="1" applyFont="1" applyFill="1" applyBorder="1" applyAlignment="1">
      <alignment horizontal="center" vertical="center"/>
    </xf>
    <xf numFmtId="1" fontId="32" fillId="27" borderId="18" xfId="4" applyNumberFormat="1" applyFont="1" applyFill="1" applyBorder="1" applyAlignment="1">
      <alignment horizontal="center" vertical="center"/>
    </xf>
    <xf numFmtId="1" fontId="32" fillId="27" borderId="17" xfId="4" applyNumberFormat="1" applyFont="1" applyFill="1" applyBorder="1" applyAlignment="1">
      <alignment horizontal="center" vertical="center"/>
    </xf>
    <xf numFmtId="1" fontId="32" fillId="27" borderId="27" xfId="4" applyNumberFormat="1" applyFont="1" applyFill="1" applyBorder="1" applyAlignment="1">
      <alignment horizontal="center" vertical="center"/>
    </xf>
    <xf numFmtId="1" fontId="32" fillId="27" borderId="20" xfId="4" applyNumberFormat="1" applyFont="1" applyFill="1" applyBorder="1" applyAlignment="1">
      <alignment horizontal="center" vertical="center"/>
    </xf>
    <xf numFmtId="0" fontId="27" fillId="5" borderId="144" xfId="4" applyFont="1" applyFill="1" applyBorder="1" applyAlignment="1">
      <alignment horizontal="right"/>
    </xf>
    <xf numFmtId="0" fontId="27" fillId="5" borderId="96" xfId="4" applyFont="1" applyFill="1" applyBorder="1" applyAlignment="1">
      <alignment horizontal="right"/>
    </xf>
    <xf numFmtId="0" fontId="26" fillId="24" borderId="14" xfId="4" applyFont="1" applyFill="1" applyBorder="1" applyAlignment="1">
      <alignment horizontal="right"/>
    </xf>
    <xf numFmtId="0" fontId="26" fillId="24" borderId="16" xfId="4" applyFont="1" applyFill="1" applyBorder="1" applyAlignment="1">
      <alignment horizontal="right"/>
    </xf>
    <xf numFmtId="0" fontId="26" fillId="24" borderId="15" xfId="4" applyFont="1" applyFill="1" applyBorder="1" applyAlignment="1">
      <alignment horizontal="right"/>
    </xf>
    <xf numFmtId="0" fontId="30" fillId="0" borderId="12" xfId="4" applyFont="1" applyBorder="1" applyAlignment="1">
      <alignment horizontal="right"/>
    </xf>
    <xf numFmtId="0" fontId="30" fillId="0" borderId="196" xfId="4" applyFont="1" applyBorder="1" applyAlignment="1">
      <alignment horizontal="right"/>
    </xf>
    <xf numFmtId="0" fontId="30" fillId="0" borderId="0" xfId="4" applyFont="1" applyAlignment="1">
      <alignment horizontal="right"/>
    </xf>
    <xf numFmtId="0" fontId="30" fillId="0" borderId="26" xfId="4" applyFont="1" applyBorder="1" applyAlignment="1">
      <alignment horizontal="right"/>
    </xf>
    <xf numFmtId="0" fontId="26" fillId="0" borderId="16" xfId="4" applyFont="1" applyBorder="1" applyAlignment="1">
      <alignment horizontal="right"/>
    </xf>
    <xf numFmtId="0" fontId="26" fillId="0" borderId="15" xfId="4" applyFont="1" applyBorder="1" applyAlignment="1">
      <alignment horizontal="right"/>
    </xf>
    <xf numFmtId="0" fontId="26" fillId="0" borderId="145" xfId="4" applyFont="1" applyBorder="1" applyAlignment="1">
      <alignment horizontal="center"/>
    </xf>
    <xf numFmtId="0" fontId="30" fillId="0" borderId="27" xfId="4" applyFont="1" applyBorder="1" applyAlignment="1">
      <alignment horizontal="right"/>
    </xf>
    <xf numFmtId="0" fontId="30" fillId="0" borderId="20" xfId="4" applyFont="1" applyBorder="1" applyAlignment="1">
      <alignment horizontal="right"/>
    </xf>
    <xf numFmtId="0" fontId="26" fillId="24" borderId="21" xfId="4" applyFont="1" applyFill="1" applyBorder="1" applyAlignment="1">
      <alignment horizontal="right"/>
    </xf>
    <xf numFmtId="0" fontId="26" fillId="24" borderId="23" xfId="4" applyFont="1" applyFill="1" applyBorder="1" applyAlignment="1">
      <alignment horizontal="right"/>
    </xf>
    <xf numFmtId="0" fontId="26" fillId="24" borderId="18" xfId="4" applyFont="1" applyFill="1" applyBorder="1" applyAlignment="1">
      <alignment horizontal="right"/>
    </xf>
    <xf numFmtId="0" fontId="32" fillId="27" borderId="14" xfId="4" applyFont="1" applyFill="1" applyBorder="1" applyAlignment="1">
      <alignment horizontal="right"/>
    </xf>
    <xf numFmtId="0" fontId="32" fillId="27" borderId="16" xfId="4" applyFont="1" applyFill="1" applyBorder="1" applyAlignment="1">
      <alignment horizontal="right"/>
    </xf>
    <xf numFmtId="0" fontId="32" fillId="27" borderId="15" xfId="4" applyFont="1" applyFill="1" applyBorder="1" applyAlignment="1">
      <alignment horizontal="right"/>
    </xf>
    <xf numFmtId="0" fontId="25" fillId="0" borderId="27" xfId="0" applyFont="1" applyBorder="1" applyAlignment="1">
      <alignment horizontal="right"/>
    </xf>
    <xf numFmtId="0" fontId="25" fillId="0" borderId="20" xfId="0" applyFont="1" applyBorder="1" applyAlignment="1">
      <alignment horizontal="right"/>
    </xf>
    <xf numFmtId="0" fontId="32" fillId="6" borderId="14" xfId="4" applyFont="1" applyFill="1" applyBorder="1" applyAlignment="1">
      <alignment horizontal="right"/>
    </xf>
    <xf numFmtId="0" fontId="32" fillId="6" borderId="16" xfId="4" applyFont="1" applyFill="1" applyBorder="1" applyAlignment="1">
      <alignment horizontal="right"/>
    </xf>
    <xf numFmtId="0" fontId="32" fillId="6" borderId="15" xfId="4" applyFont="1" applyFill="1" applyBorder="1" applyAlignment="1">
      <alignment horizontal="right"/>
    </xf>
    <xf numFmtId="0" fontId="27" fillId="5" borderId="7" xfId="4" applyFont="1" applyFill="1" applyBorder="1" applyAlignment="1">
      <alignment horizontal="right"/>
    </xf>
    <xf numFmtId="0" fontId="27" fillId="5" borderId="94" xfId="4" applyFont="1" applyFill="1" applyBorder="1" applyAlignment="1">
      <alignment horizontal="right"/>
    </xf>
    <xf numFmtId="0" fontId="26" fillId="7" borderId="14" xfId="4" applyFont="1" applyFill="1" applyBorder="1" applyAlignment="1">
      <alignment wrapText="1"/>
    </xf>
    <xf numFmtId="0" fontId="26" fillId="7" borderId="16" xfId="4" applyFont="1" applyFill="1" applyBorder="1" applyAlignment="1">
      <alignment wrapText="1"/>
    </xf>
    <xf numFmtId="0" fontId="26" fillId="7" borderId="15" xfId="4" applyFont="1" applyFill="1" applyBorder="1" applyAlignment="1">
      <alignment wrapText="1"/>
    </xf>
    <xf numFmtId="0" fontId="26" fillId="27" borderId="14" xfId="4" applyFont="1" applyFill="1" applyBorder="1" applyAlignment="1">
      <alignment horizontal="right"/>
    </xf>
    <xf numFmtId="0" fontId="26" fillId="27" borderId="16" xfId="4" applyFont="1" applyFill="1" applyBorder="1" applyAlignment="1">
      <alignment horizontal="right"/>
    </xf>
    <xf numFmtId="0" fontId="26" fillId="27" borderId="15" xfId="4" applyFont="1" applyFill="1" applyBorder="1" applyAlignment="1">
      <alignment horizontal="right"/>
    </xf>
    <xf numFmtId="49" fontId="26" fillId="24" borderId="14" xfId="4" applyNumberFormat="1" applyFont="1" applyFill="1" applyBorder="1" applyAlignment="1">
      <alignment horizontal="right" vertical="center" wrapText="1"/>
    </xf>
    <xf numFmtId="49" fontId="26" fillId="24" borderId="16" xfId="4" applyNumberFormat="1" applyFont="1" applyFill="1" applyBorder="1" applyAlignment="1">
      <alignment horizontal="right" vertical="center" wrapText="1"/>
    </xf>
    <xf numFmtId="49" fontId="26" fillId="24" borderId="15" xfId="4" applyNumberFormat="1" applyFont="1" applyFill="1" applyBorder="1" applyAlignment="1">
      <alignment horizontal="right" vertical="center" wrapText="1"/>
    </xf>
    <xf numFmtId="49" fontId="27" fillId="24" borderId="109" xfId="4" applyNumberFormat="1" applyFont="1" applyFill="1" applyBorder="1" applyAlignment="1">
      <alignment horizontal="center" vertical="center" wrapText="1"/>
    </xf>
    <xf numFmtId="49" fontId="27" fillId="24" borderId="2" xfId="4" applyNumberFormat="1" applyFont="1" applyFill="1" applyBorder="1" applyAlignment="1">
      <alignment horizontal="center" vertical="center" wrapText="1"/>
    </xf>
    <xf numFmtId="0" fontId="35" fillId="0" borderId="12" xfId="0" applyFont="1" applyBorder="1" applyAlignment="1">
      <alignment horizontal="center" wrapText="1"/>
    </xf>
    <xf numFmtId="0" fontId="25" fillId="0" borderId="0" xfId="0" applyFont="1" applyAlignment="1">
      <alignment horizontal="center"/>
    </xf>
    <xf numFmtId="0" fontId="27" fillId="5" borderId="2" xfId="4" applyFont="1" applyFill="1" applyBorder="1" applyAlignment="1">
      <alignment horizontal="right"/>
    </xf>
    <xf numFmtId="0" fontId="27" fillId="5" borderId="145" xfId="4" applyFont="1" applyFill="1" applyBorder="1" applyAlignment="1">
      <alignment horizontal="right"/>
    </xf>
    <xf numFmtId="0" fontId="27" fillId="5" borderId="144" xfId="4" applyFont="1" applyFill="1" applyBorder="1" applyAlignment="1">
      <alignment horizontal="right" vertical="center"/>
    </xf>
    <xf numFmtId="0" fontId="27" fillId="5" borderId="96" xfId="4" applyFont="1" applyFill="1" applyBorder="1" applyAlignment="1">
      <alignment horizontal="right" vertical="center"/>
    </xf>
    <xf numFmtId="0" fontId="35" fillId="0" borderId="0" xfId="0" applyFont="1" applyAlignment="1">
      <alignment horizontal="center" wrapText="1"/>
    </xf>
    <xf numFmtId="0" fontId="25" fillId="0" borderId="27" xfId="0" applyFont="1" applyBorder="1" applyAlignment="1">
      <alignment horizontal="center"/>
    </xf>
    <xf numFmtId="0" fontId="27" fillId="24" borderId="14" xfId="4" applyFont="1" applyFill="1" applyBorder="1" applyAlignment="1">
      <alignment horizontal="left"/>
    </xf>
    <xf numFmtId="0" fontId="27" fillId="24" borderId="16" xfId="4" applyFont="1" applyFill="1" applyBorder="1" applyAlignment="1">
      <alignment horizontal="left"/>
    </xf>
    <xf numFmtId="0" fontId="27" fillId="24" borderId="151" xfId="4" applyFont="1" applyFill="1" applyBorder="1" applyAlignment="1">
      <alignment horizontal="left"/>
    </xf>
    <xf numFmtId="0" fontId="14" fillId="0" borderId="0" xfId="0" applyFont="1" applyAlignment="1">
      <alignment wrapText="1"/>
    </xf>
    <xf numFmtId="0" fontId="14" fillId="0" borderId="0" xfId="0" applyFont="1" applyAlignment="1">
      <alignment horizontal="left" vertical="top" wrapText="1"/>
    </xf>
    <xf numFmtId="0" fontId="16" fillId="0" borderId="14" xfId="0" applyFont="1" applyBorder="1" applyAlignment="1">
      <alignment horizontal="center" vertical="center"/>
    </xf>
    <xf numFmtId="0" fontId="16" fillId="0" borderId="16" xfId="0" applyFont="1" applyBorder="1" applyAlignment="1">
      <alignment horizontal="center" vertical="center"/>
    </xf>
    <xf numFmtId="0" fontId="16" fillId="0" borderId="151" xfId="0" applyFont="1" applyBorder="1" applyAlignment="1">
      <alignment horizontal="center" vertical="center"/>
    </xf>
    <xf numFmtId="0" fontId="2" fillId="0" borderId="63" xfId="0" applyFont="1" applyBorder="1" applyAlignment="1">
      <alignment horizontal="left"/>
    </xf>
    <xf numFmtId="0" fontId="16" fillId="0" borderId="21" xfId="0" applyFont="1" applyBorder="1" applyAlignment="1">
      <alignment horizontal="center" vertical="center" wrapText="1"/>
    </xf>
    <xf numFmtId="0" fontId="16" fillId="0" borderId="18" xfId="0" applyFont="1" applyBorder="1" applyAlignment="1">
      <alignment horizontal="center" vertical="center" wrapText="1"/>
    </xf>
    <xf numFmtId="0" fontId="0" fillId="0" borderId="0" xfId="0" applyAlignment="1">
      <alignment horizontal="left" wrapText="1"/>
    </xf>
    <xf numFmtId="0" fontId="14" fillId="0" borderId="0" xfId="0" applyFont="1" applyAlignment="1">
      <alignment horizontal="left" wrapText="1"/>
    </xf>
    <xf numFmtId="0" fontId="0" fillId="0" borderId="21" xfId="0" applyBorder="1" applyAlignment="1">
      <alignment horizontal="left" vertical="top"/>
    </xf>
    <xf numFmtId="0" fontId="0" fillId="0" borderId="23" xfId="0" applyBorder="1" applyAlignment="1">
      <alignment horizontal="left" vertical="top"/>
    </xf>
    <xf numFmtId="0" fontId="0" fillId="0" borderId="18" xfId="0" applyBorder="1" applyAlignment="1">
      <alignment horizontal="left" vertical="top"/>
    </xf>
    <xf numFmtId="0" fontId="0" fillId="0" borderId="24" xfId="0" applyBorder="1" applyAlignment="1">
      <alignment horizontal="left" vertical="top"/>
    </xf>
    <xf numFmtId="0" fontId="0" fillId="0" borderId="0" xfId="0" applyAlignment="1">
      <alignment horizontal="left" vertical="top"/>
    </xf>
    <xf numFmtId="0" fontId="0" fillId="0" borderId="26" xfId="0" applyBorder="1" applyAlignment="1">
      <alignment horizontal="left" vertical="top"/>
    </xf>
    <xf numFmtId="0" fontId="0" fillId="0" borderId="17" xfId="0" applyBorder="1" applyAlignment="1">
      <alignment horizontal="left" vertical="top"/>
    </xf>
    <xf numFmtId="0" fontId="0" fillId="0" borderId="27" xfId="0" applyBorder="1" applyAlignment="1">
      <alignment horizontal="left" vertical="top"/>
    </xf>
    <xf numFmtId="0" fontId="0" fillId="0" borderId="20" xfId="0" applyBorder="1" applyAlignment="1">
      <alignment horizontal="left" vertical="top"/>
    </xf>
    <xf numFmtId="0" fontId="27" fillId="24" borderId="20" xfId="4" applyFont="1" applyFill="1" applyBorder="1" applyAlignment="1">
      <alignment vertical="center" wrapText="1"/>
    </xf>
    <xf numFmtId="0" fontId="27" fillId="24" borderId="114" xfId="4" applyFont="1" applyFill="1" applyBorder="1" applyAlignment="1">
      <alignment horizontal="center" vertical="center" wrapText="1"/>
    </xf>
    <xf numFmtId="0" fontId="27" fillId="24" borderId="5" xfId="4" applyFont="1" applyFill="1" applyBorder="1" applyAlignment="1">
      <alignment horizontal="center" vertical="center" wrapText="1"/>
    </xf>
    <xf numFmtId="0" fontId="0" fillId="24" borderId="69" xfId="0" applyFill="1" applyBorder="1" applyAlignment="1">
      <alignment horizontal="center" vertical="center"/>
    </xf>
    <xf numFmtId="0" fontId="0" fillId="24" borderId="85" xfId="0" applyFill="1" applyBorder="1" applyAlignment="1">
      <alignment horizontal="center" vertical="center"/>
    </xf>
    <xf numFmtId="0" fontId="0" fillId="24" borderId="171" xfId="0" applyFill="1" applyBorder="1" applyAlignment="1">
      <alignment horizontal="center" vertical="center"/>
    </xf>
    <xf numFmtId="1" fontId="8" fillId="0" borderId="0" xfId="8" applyNumberFormat="1" applyFont="1" applyAlignment="1">
      <alignment horizontal="center" vertical="center" wrapText="1"/>
    </xf>
    <xf numFmtId="0" fontId="10" fillId="0" borderId="364" xfId="0" applyFont="1" applyBorder="1" applyAlignment="1">
      <alignment horizontal="center" vertical="center" wrapText="1"/>
    </xf>
    <xf numFmtId="0" fontId="10" fillId="0" borderId="117" xfId="0" applyFont="1" applyBorder="1" applyAlignment="1">
      <alignment horizontal="center" vertical="center" wrapText="1"/>
    </xf>
    <xf numFmtId="0" fontId="10" fillId="0" borderId="365"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8" fillId="0" borderId="79" xfId="8" applyFont="1" applyBorder="1" applyAlignment="1">
      <alignment horizontal="center" vertical="center" wrapText="1"/>
    </xf>
    <xf numFmtId="0" fontId="8" fillId="0" borderId="81" xfId="8" applyFont="1" applyBorder="1" applyAlignment="1">
      <alignment horizontal="center" vertical="center" wrapText="1"/>
    </xf>
    <xf numFmtId="0" fontId="8" fillId="0" borderId="276" xfId="8" applyFont="1" applyBorder="1" applyAlignment="1">
      <alignment horizontal="center" vertical="center" wrapText="1"/>
    </xf>
    <xf numFmtId="0" fontId="8" fillId="0" borderId="272" xfId="8" applyFont="1" applyBorder="1" applyAlignment="1">
      <alignment horizontal="center" vertical="center" wrapText="1"/>
    </xf>
    <xf numFmtId="0" fontId="8" fillId="0" borderId="280" xfId="8" applyFont="1" applyBorder="1" applyAlignment="1">
      <alignment horizontal="center" vertical="center" wrapText="1"/>
    </xf>
    <xf numFmtId="10" fontId="5" fillId="22" borderId="278" xfId="3" applyNumberFormat="1" applyFont="1" applyFill="1" applyBorder="1" applyAlignment="1">
      <alignment horizontal="center" vertical="center" wrapText="1"/>
    </xf>
    <xf numFmtId="10" fontId="5" fillId="22" borderId="279" xfId="3" applyNumberFormat="1" applyFont="1" applyFill="1" applyBorder="1" applyAlignment="1">
      <alignment horizontal="center" vertical="center" wrapText="1"/>
    </xf>
    <xf numFmtId="10" fontId="5" fillId="22" borderId="282" xfId="3" applyNumberFormat="1" applyFont="1" applyFill="1" applyBorder="1" applyAlignment="1">
      <alignment horizontal="center" vertical="center" wrapText="1"/>
    </xf>
    <xf numFmtId="0" fontId="8" fillId="0" borderId="277" xfId="8" applyFont="1" applyBorder="1" applyAlignment="1">
      <alignment horizontal="center" vertical="center" wrapText="1"/>
    </xf>
    <xf numFmtId="0" fontId="8" fillId="0" borderId="19" xfId="8" applyFont="1" applyBorder="1" applyAlignment="1">
      <alignment horizontal="center" vertical="center" wrapText="1"/>
    </xf>
    <xf numFmtId="0" fontId="10" fillId="0" borderId="277" xfId="0" applyFont="1" applyBorder="1" applyAlignment="1">
      <alignment horizontal="center" vertical="center" wrapText="1"/>
    </xf>
    <xf numFmtId="0" fontId="10" fillId="0" borderId="19" xfId="0" applyFont="1" applyBorder="1" applyAlignment="1">
      <alignment horizontal="center" vertical="center" wrapText="1"/>
    </xf>
    <xf numFmtId="10" fontId="2" fillId="22" borderId="277" xfId="0" applyNumberFormat="1" applyFont="1" applyFill="1" applyBorder="1" applyAlignment="1">
      <alignment horizontal="center" vertical="center"/>
    </xf>
    <xf numFmtId="10" fontId="2" fillId="22" borderId="19" xfId="0" applyNumberFormat="1" applyFont="1" applyFill="1" applyBorder="1" applyAlignment="1">
      <alignment horizontal="center" vertical="center"/>
    </xf>
    <xf numFmtId="0" fontId="8" fillId="0" borderId="69" xfId="8" applyFont="1" applyBorder="1" applyAlignment="1">
      <alignment horizontal="center" vertical="center" wrapText="1"/>
    </xf>
    <xf numFmtId="0" fontId="8" fillId="0" borderId="85" xfId="8" applyFont="1" applyBorder="1" applyAlignment="1">
      <alignment horizontal="center" vertical="center" wrapText="1"/>
    </xf>
    <xf numFmtId="0" fontId="8" fillId="0" borderId="116" xfId="8" applyFont="1" applyBorder="1" applyAlignment="1">
      <alignment horizontal="center" vertical="center" wrapText="1"/>
    </xf>
    <xf numFmtId="0" fontId="5" fillId="24" borderId="14" xfId="8" applyFont="1" applyFill="1" applyBorder="1" applyAlignment="1">
      <alignment horizontal="center" wrapText="1"/>
    </xf>
    <xf numFmtId="0" fontId="5" fillId="24" borderId="15" xfId="8" applyFont="1" applyFill="1" applyBorder="1" applyAlignment="1">
      <alignment horizontal="center" wrapText="1"/>
    </xf>
    <xf numFmtId="0" fontId="5" fillId="24" borderId="16" xfId="8" applyFont="1" applyFill="1" applyBorder="1" applyAlignment="1">
      <alignment horizontal="center" wrapText="1"/>
    </xf>
    <xf numFmtId="0" fontId="7" fillId="0" borderId="21"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18" xfId="0" applyFont="1" applyBorder="1" applyAlignment="1">
      <alignment horizontal="center" vertical="center" wrapText="1"/>
    </xf>
    <xf numFmtId="0" fontId="64" fillId="0" borderId="21" xfId="0" applyFont="1" applyBorder="1" applyAlignment="1">
      <alignment horizontal="center" vertical="center" wrapText="1"/>
    </xf>
    <xf numFmtId="0" fontId="64" fillId="0" borderId="23" xfId="0" applyFont="1" applyBorder="1" applyAlignment="1">
      <alignment horizontal="center" vertical="center" wrapText="1"/>
    </xf>
    <xf numFmtId="0" fontId="64" fillId="0" borderId="91" xfId="0" applyFont="1" applyBorder="1" applyAlignment="1">
      <alignment horizontal="center" vertical="center" wrapText="1"/>
    </xf>
    <xf numFmtId="1" fontId="8" fillId="0" borderId="22" xfId="8" applyNumberFormat="1" applyFont="1" applyBorder="1" applyAlignment="1">
      <alignment horizontal="center" vertical="center" wrapText="1"/>
    </xf>
    <xf numFmtId="1" fontId="8" fillId="0" borderId="25" xfId="8" applyNumberFormat="1" applyFont="1" applyBorder="1" applyAlignment="1">
      <alignment horizontal="center" vertical="center" wrapText="1"/>
    </xf>
    <xf numFmtId="1" fontId="8" fillId="0" borderId="19" xfId="8" applyNumberFormat="1" applyFont="1" applyBorder="1" applyAlignment="1">
      <alignment horizontal="center" vertical="center" wrapText="1"/>
    </xf>
    <xf numFmtId="0" fontId="8" fillId="0" borderId="22" xfId="8" applyFont="1" applyBorder="1" applyAlignment="1">
      <alignment horizontal="center" vertical="center" wrapText="1"/>
    </xf>
    <xf numFmtId="0" fontId="8" fillId="0" borderId="25" xfId="8" applyFont="1" applyBorder="1" applyAlignment="1">
      <alignment horizontal="center" vertical="center" wrapText="1"/>
    </xf>
    <xf numFmtId="10" fontId="5" fillId="22" borderId="21" xfId="8" applyNumberFormat="1" applyFont="1" applyFill="1" applyBorder="1" applyAlignment="1">
      <alignment horizontal="center" vertical="center" wrapText="1"/>
    </xf>
    <xf numFmtId="10" fontId="5" fillId="22" borderId="24" xfId="8" applyNumberFormat="1" applyFont="1" applyFill="1" applyBorder="1" applyAlignment="1">
      <alignment horizontal="center" vertical="center" wrapText="1"/>
    </xf>
    <xf numFmtId="10" fontId="5" fillId="22" borderId="17" xfId="8" applyNumberFormat="1" applyFont="1" applyFill="1" applyBorder="1" applyAlignment="1">
      <alignment horizontal="center" vertical="center" wrapText="1"/>
    </xf>
    <xf numFmtId="0" fontId="5" fillId="0" borderId="14" xfId="8" applyFont="1" applyBorder="1" applyAlignment="1">
      <alignment horizontal="center" wrapText="1"/>
    </xf>
    <xf numFmtId="0" fontId="5" fillId="0" borderId="16" xfId="8" applyFont="1" applyBorder="1" applyAlignment="1">
      <alignment horizontal="center" wrapText="1"/>
    </xf>
    <xf numFmtId="0" fontId="5" fillId="0" borderId="15" xfId="8" applyFont="1" applyBorder="1" applyAlignment="1">
      <alignment horizontal="center" wrapText="1"/>
    </xf>
    <xf numFmtId="0" fontId="65" fillId="0" borderId="283" xfId="0" applyFont="1" applyBorder="1" applyAlignment="1">
      <alignment vertical="center" wrapText="1"/>
    </xf>
    <xf numFmtId="0" fontId="65" fillId="0" borderId="12" xfId="0" applyFont="1" applyBorder="1" applyAlignment="1">
      <alignment vertical="center" wrapText="1"/>
    </xf>
    <xf numFmtId="0" fontId="65" fillId="0" borderId="374" xfId="0" applyFont="1" applyBorder="1" applyAlignment="1">
      <alignment vertical="center" wrapText="1"/>
    </xf>
    <xf numFmtId="0" fontId="65" fillId="0" borderId="376" xfId="0" applyFont="1" applyBorder="1" applyAlignment="1">
      <alignment vertical="center" wrapText="1"/>
    </xf>
    <xf numFmtId="0" fontId="65" fillId="0" borderId="116" xfId="0" applyFont="1" applyBorder="1" applyAlignment="1">
      <alignment vertical="center" wrapText="1"/>
    </xf>
    <xf numFmtId="0" fontId="65" fillId="0" borderId="82" xfId="0" applyFont="1" applyBorder="1" applyAlignment="1">
      <alignment vertical="center" wrapText="1"/>
    </xf>
    <xf numFmtId="0" fontId="65" fillId="0" borderId="273" xfId="0" applyFont="1" applyBorder="1" applyAlignment="1">
      <alignment vertical="center" wrapText="1"/>
    </xf>
    <xf numFmtId="0" fontId="65" fillId="0" borderId="28" xfId="0" applyFont="1" applyBorder="1" applyAlignment="1">
      <alignment vertical="center" wrapText="1"/>
    </xf>
    <xf numFmtId="0" fontId="65" fillId="0" borderId="371" xfId="0" applyFont="1" applyBorder="1" applyAlignment="1">
      <alignment vertical="center" wrapText="1"/>
    </xf>
    <xf numFmtId="0" fontId="65" fillId="0" borderId="362" xfId="0" applyFont="1" applyBorder="1" applyAlignment="1">
      <alignment vertical="center" wrapText="1"/>
    </xf>
    <xf numFmtId="0" fontId="65" fillId="0" borderId="7" xfId="0" applyFont="1" applyBorder="1" applyAlignment="1">
      <alignment vertical="center" wrapText="1"/>
    </xf>
    <xf numFmtId="0" fontId="65" fillId="0" borderId="325" xfId="0" applyFont="1" applyBorder="1" applyAlignment="1">
      <alignment vertical="center" wrapText="1"/>
    </xf>
    <xf numFmtId="0" fontId="0" fillId="0" borderId="370" xfId="0" applyBorder="1" applyAlignment="1">
      <alignment horizontal="center" vertical="center" wrapText="1"/>
    </xf>
    <xf numFmtId="0" fontId="0" fillId="0" borderId="28" xfId="0" applyBorder="1" applyAlignment="1">
      <alignment horizontal="center" vertical="center" wrapText="1"/>
    </xf>
    <xf numFmtId="0" fontId="0" fillId="0" borderId="274" xfId="0" applyBorder="1" applyAlignment="1">
      <alignment horizontal="center" vertical="center" wrapText="1"/>
    </xf>
    <xf numFmtId="0" fontId="0" fillId="0" borderId="360" xfId="0" applyBorder="1" applyAlignment="1">
      <alignment horizontal="center" vertical="center" wrapText="1"/>
    </xf>
    <xf numFmtId="0" fontId="0" fillId="0" borderId="7" xfId="0" applyBorder="1" applyAlignment="1">
      <alignment horizontal="center" vertical="center" wrapText="1"/>
    </xf>
    <xf numFmtId="0" fontId="0" fillId="0" borderId="363" xfId="0" applyBorder="1" applyAlignment="1">
      <alignment horizontal="center" vertical="center" wrapText="1"/>
    </xf>
    <xf numFmtId="0" fontId="0" fillId="0" borderId="275" xfId="0" applyBorder="1" applyAlignment="1">
      <alignment horizontal="left"/>
    </xf>
    <xf numFmtId="0" fontId="0" fillId="0" borderId="83" xfId="0" applyBorder="1" applyAlignment="1">
      <alignment horizontal="left"/>
    </xf>
    <xf numFmtId="0" fontId="0" fillId="24" borderId="366" xfId="0" applyFill="1" applyBorder="1" applyAlignment="1">
      <alignment horizontal="center"/>
    </xf>
    <xf numFmtId="0" fontId="0" fillId="24" borderId="367" xfId="0" applyFill="1" applyBorder="1" applyAlignment="1">
      <alignment horizontal="center"/>
    </xf>
    <xf numFmtId="0" fontId="0" fillId="24" borderId="368" xfId="0" applyFill="1" applyBorder="1" applyAlignment="1">
      <alignment horizontal="center"/>
    </xf>
    <xf numFmtId="0" fontId="8" fillId="0" borderId="281" xfId="8" applyFont="1" applyBorder="1" applyAlignment="1">
      <alignment horizontal="center" vertical="center" wrapText="1"/>
    </xf>
    <xf numFmtId="0" fontId="0" fillId="0" borderId="373" xfId="0" applyBorder="1" applyAlignment="1">
      <alignment horizontal="center" vertical="center" wrapText="1"/>
    </xf>
    <xf numFmtId="0" fontId="0" fillId="0" borderId="12" xfId="0" applyBorder="1" applyAlignment="1">
      <alignment horizontal="center" vertical="center" wrapText="1"/>
    </xf>
    <xf numFmtId="0" fontId="0" fillId="0" borderId="285" xfId="0" applyBorder="1" applyAlignment="1">
      <alignment horizontal="center" vertical="center" wrapText="1"/>
    </xf>
    <xf numFmtId="0" fontId="0" fillId="0" borderId="81" xfId="0" applyBorder="1" applyAlignment="1">
      <alignment horizontal="center" vertical="center" wrapText="1"/>
    </xf>
    <xf numFmtId="0" fontId="0" fillId="0" borderId="116" xfId="0" applyBorder="1" applyAlignment="1">
      <alignment horizontal="center" vertical="center" wrapText="1"/>
    </xf>
    <xf numFmtId="0" fontId="0" fillId="0" borderId="375" xfId="0" applyBorder="1" applyAlignment="1">
      <alignment horizontal="center" vertical="center" wrapText="1"/>
    </xf>
    <xf numFmtId="42" fontId="5" fillId="22" borderId="364" xfId="1" applyNumberFormat="1" applyFont="1" applyFill="1" applyBorder="1" applyAlignment="1">
      <alignment horizontal="center" vertical="center" wrapText="1"/>
    </xf>
    <xf numFmtId="42" fontId="5" fillId="22" borderId="24" xfId="1" applyNumberFormat="1" applyFont="1" applyFill="1" applyBorder="1" applyAlignment="1">
      <alignment horizontal="center" vertical="center" wrapText="1"/>
    </xf>
    <xf numFmtId="42" fontId="5" fillId="22" borderId="279" xfId="1" applyNumberFormat="1" applyFont="1" applyFill="1" applyBorder="1" applyAlignment="1">
      <alignment horizontal="center" vertical="center" wrapText="1"/>
    </xf>
    <xf numFmtId="42" fontId="5" fillId="22" borderId="282" xfId="1" applyNumberFormat="1" applyFont="1" applyFill="1" applyBorder="1" applyAlignment="1">
      <alignment horizontal="center" vertical="center" wrapText="1"/>
    </xf>
    <xf numFmtId="0" fontId="8" fillId="0" borderId="361" xfId="8" applyFont="1" applyBorder="1" applyAlignment="1">
      <alignment horizontal="center" vertical="center" wrapText="1"/>
    </xf>
    <xf numFmtId="0" fontId="0" fillId="0" borderId="64" xfId="0" applyBorder="1" applyAlignment="1">
      <alignment horizontal="left"/>
    </xf>
    <xf numFmtId="0" fontId="0" fillId="0" borderId="63" xfId="0" applyBorder="1" applyAlignment="1">
      <alignment horizontal="left"/>
    </xf>
    <xf numFmtId="0" fontId="0" fillId="0" borderId="372" xfId="0" applyBorder="1" applyAlignment="1">
      <alignment horizontal="left"/>
    </xf>
    <xf numFmtId="0" fontId="0" fillId="24" borderId="67" xfId="0" applyFill="1" applyBorder="1" applyAlignment="1">
      <alignment horizontal="left"/>
    </xf>
    <xf numFmtId="0" fontId="0" fillId="24" borderId="57" xfId="0" applyFill="1" applyBorder="1" applyAlignment="1">
      <alignment horizontal="left"/>
    </xf>
    <xf numFmtId="0" fontId="0" fillId="24" borderId="369" xfId="0" applyFill="1" applyBorder="1" applyAlignment="1">
      <alignment horizontal="left"/>
    </xf>
    <xf numFmtId="0" fontId="0" fillId="0" borderId="273" xfId="0" applyBorder="1" applyAlignment="1">
      <alignment horizontal="left"/>
    </xf>
    <xf numFmtId="0" fontId="0" fillId="0" borderId="28" xfId="0" applyBorder="1" applyAlignment="1">
      <alignment horizontal="left"/>
    </xf>
    <xf numFmtId="0" fontId="0" fillId="0" borderId="371" xfId="0" applyBorder="1" applyAlignment="1">
      <alignment horizontal="left"/>
    </xf>
    <xf numFmtId="0" fontId="45" fillId="20" borderId="24" xfId="0" applyFont="1" applyFill="1" applyBorder="1" applyAlignment="1">
      <alignment horizontal="left" wrapText="1"/>
    </xf>
    <xf numFmtId="0" fontId="45" fillId="20" borderId="0" xfId="0" applyFont="1" applyFill="1" applyAlignment="1">
      <alignment horizontal="left" wrapText="1"/>
    </xf>
    <xf numFmtId="0" fontId="45" fillId="20" borderId="26" xfId="0" applyFont="1" applyFill="1" applyBorder="1" applyAlignment="1">
      <alignment horizontal="left" wrapText="1"/>
    </xf>
    <xf numFmtId="0" fontId="45" fillId="20" borderId="17" xfId="0" applyFont="1" applyFill="1" applyBorder="1" applyAlignment="1">
      <alignment horizontal="left" wrapText="1"/>
    </xf>
    <xf numFmtId="0" fontId="45" fillId="20" borderId="27" xfId="0" applyFont="1" applyFill="1" applyBorder="1" applyAlignment="1">
      <alignment horizontal="left" wrapText="1"/>
    </xf>
    <xf numFmtId="0" fontId="45" fillId="20" borderId="20" xfId="0" applyFont="1" applyFill="1" applyBorder="1" applyAlignment="1">
      <alignment horizontal="left" wrapText="1"/>
    </xf>
    <xf numFmtId="0" fontId="52" fillId="17" borderId="23" xfId="0" applyFont="1" applyFill="1" applyBorder="1" applyAlignment="1">
      <alignment horizontal="left"/>
    </xf>
    <xf numFmtId="0" fontId="39" fillId="17" borderId="63" xfId="0" applyFont="1" applyFill="1" applyBorder="1" applyAlignment="1">
      <alignment horizontal="left"/>
    </xf>
    <xf numFmtId="0" fontId="52" fillId="17" borderId="0" xfId="0" applyFont="1" applyFill="1" applyAlignment="1">
      <alignment horizontal="left" vertical="top"/>
    </xf>
    <xf numFmtId="0" fontId="62" fillId="0" borderId="116" xfId="0" applyFont="1" applyBorder="1" applyAlignment="1">
      <alignment horizontal="left" vertical="top"/>
    </xf>
    <xf numFmtId="0" fontId="62" fillId="0" borderId="0" xfId="0" applyFont="1" applyAlignment="1">
      <alignment horizontal="left" vertical="top"/>
    </xf>
    <xf numFmtId="0" fontId="39" fillId="17" borderId="117" xfId="0" applyFont="1" applyFill="1" applyBorder="1" applyAlignment="1">
      <alignment horizontal="left"/>
    </xf>
    <xf numFmtId="0" fontId="46" fillId="17" borderId="14" xfId="0" applyFont="1" applyFill="1" applyBorder="1" applyAlignment="1">
      <alignment horizontal="center"/>
    </xf>
    <xf numFmtId="0" fontId="46" fillId="17" borderId="16" xfId="0" applyFont="1" applyFill="1" applyBorder="1" applyAlignment="1">
      <alignment horizontal="center"/>
    </xf>
    <xf numFmtId="0" fontId="46" fillId="17" borderId="15" xfId="0" applyFont="1" applyFill="1" applyBorder="1" applyAlignment="1">
      <alignment horizontal="center"/>
    </xf>
    <xf numFmtId="0" fontId="50" fillId="20" borderId="79" xfId="0" applyFont="1" applyFill="1" applyBorder="1" applyAlignment="1">
      <alignment horizontal="left"/>
    </xf>
    <xf numFmtId="0" fontId="50" fillId="20" borderId="117" xfId="0" applyFont="1" applyFill="1" applyBorder="1" applyAlignment="1">
      <alignment horizontal="left"/>
    </xf>
    <xf numFmtId="0" fontId="50" fillId="20" borderId="80" xfId="0" applyFont="1" applyFill="1" applyBorder="1" applyAlignment="1">
      <alignment horizontal="left"/>
    </xf>
    <xf numFmtId="0" fontId="45" fillId="20" borderId="84" xfId="0" applyFont="1" applyFill="1" applyBorder="1" applyAlignment="1">
      <alignment horizontal="left" vertical="top" wrapText="1"/>
    </xf>
    <xf numFmtId="0" fontId="45" fillId="20" borderId="0" xfId="0" applyFont="1" applyFill="1" applyAlignment="1">
      <alignment horizontal="left" vertical="top" wrapText="1"/>
    </xf>
    <xf numFmtId="0" fontId="45" fillId="20" borderId="83" xfId="0" applyFont="1" applyFill="1" applyBorder="1" applyAlignment="1">
      <alignment horizontal="left" vertical="top" wrapText="1"/>
    </xf>
    <xf numFmtId="0" fontId="45" fillId="20" borderId="81" xfId="0" applyFont="1" applyFill="1" applyBorder="1" applyAlignment="1">
      <alignment horizontal="left" vertical="top" wrapText="1"/>
    </xf>
    <xf numFmtId="0" fontId="45" fillId="20" borderId="116" xfId="0" applyFont="1" applyFill="1" applyBorder="1" applyAlignment="1">
      <alignment horizontal="left" vertical="top" wrapText="1"/>
    </xf>
    <xf numFmtId="0" fontId="45" fillId="20" borderId="82" xfId="0" applyFont="1" applyFill="1" applyBorder="1" applyAlignment="1">
      <alignment horizontal="left" vertical="top" wrapText="1"/>
    </xf>
    <xf numFmtId="0" fontId="73" fillId="17" borderId="117" xfId="0" applyFont="1" applyFill="1" applyBorder="1" applyAlignment="1">
      <alignment horizontal="left" wrapText="1"/>
    </xf>
    <xf numFmtId="0" fontId="37" fillId="8" borderId="79" xfId="0" applyFont="1" applyFill="1" applyBorder="1" applyAlignment="1">
      <alignment horizontal="center"/>
    </xf>
    <xf numFmtId="0" fontId="37" fillId="8" borderId="117" xfId="0" applyFont="1" applyFill="1" applyBorder="1" applyAlignment="1">
      <alignment horizontal="center"/>
    </xf>
    <xf numFmtId="0" fontId="37" fillId="8" borderId="80" xfId="0" applyFont="1" applyFill="1" applyBorder="1" applyAlignment="1">
      <alignment horizontal="center"/>
    </xf>
    <xf numFmtId="0" fontId="37" fillId="8" borderId="81" xfId="0" applyFont="1" applyFill="1" applyBorder="1" applyAlignment="1">
      <alignment horizontal="center"/>
    </xf>
    <xf numFmtId="0" fontId="37" fillId="8" borderId="116" xfId="0" applyFont="1" applyFill="1" applyBorder="1" applyAlignment="1">
      <alignment horizontal="center"/>
    </xf>
    <xf numFmtId="0" fontId="37" fillId="8" borderId="82" xfId="0" applyFont="1" applyFill="1" applyBorder="1" applyAlignment="1">
      <alignment horizontal="center"/>
    </xf>
    <xf numFmtId="0" fontId="16" fillId="24" borderId="227" xfId="0" applyFont="1" applyFill="1" applyBorder="1" applyAlignment="1">
      <alignment horizontal="center" vertical="center"/>
    </xf>
    <xf numFmtId="0" fontId="16" fillId="24" borderId="323" xfId="0" applyFont="1" applyFill="1" applyBorder="1" applyAlignment="1">
      <alignment horizontal="center" vertical="center"/>
    </xf>
    <xf numFmtId="0" fontId="43" fillId="0" borderId="0" xfId="0" applyFont="1" applyAlignment="1"/>
    <xf numFmtId="0" fontId="0" fillId="0" borderId="336" xfId="0" applyBorder="1" applyAlignment="1"/>
    <xf numFmtId="0" fontId="0" fillId="0" borderId="337" xfId="0" applyBorder="1" applyAlignment="1"/>
    <xf numFmtId="0" fontId="0" fillId="0" borderId="331" xfId="0" applyBorder="1" applyAlignment="1"/>
    <xf numFmtId="0" fontId="0" fillId="0" borderId="330" xfId="0" applyBorder="1" applyAlignment="1"/>
    <xf numFmtId="0" fontId="2" fillId="0" borderId="406" xfId="0" applyFont="1" applyBorder="1" applyAlignment="1"/>
    <xf numFmtId="0" fontId="2" fillId="0" borderId="407" xfId="0" applyFont="1" applyBorder="1" applyAlignment="1"/>
    <xf numFmtId="0" fontId="2" fillId="0" borderId="408" xfId="0" applyFont="1" applyBorder="1" applyAlignment="1"/>
    <xf numFmtId="0" fontId="2" fillId="16" borderId="395" xfId="0" applyFont="1" applyFill="1" applyBorder="1" applyAlignment="1"/>
    <xf numFmtId="0" fontId="2" fillId="16" borderId="394" xfId="0" applyFont="1" applyFill="1" applyBorder="1" applyAlignment="1"/>
    <xf numFmtId="0" fontId="2" fillId="16" borderId="396" xfId="0" applyFont="1" applyFill="1" applyBorder="1" applyAlignment="1"/>
    <xf numFmtId="0" fontId="2" fillId="16" borderId="344" xfId="0" applyFont="1" applyFill="1" applyBorder="1" applyAlignment="1"/>
    <xf numFmtId="0" fontId="2" fillId="16" borderId="336" xfId="0" applyFont="1" applyFill="1" applyBorder="1" applyAlignment="1"/>
    <xf numFmtId="0" fontId="2" fillId="16" borderId="347" xfId="0" applyFont="1" applyFill="1" applyBorder="1" applyAlignment="1"/>
    <xf numFmtId="0" fontId="2" fillId="16" borderId="1" xfId="0" applyFont="1" applyFill="1" applyBorder="1" applyAlignment="1"/>
    <xf numFmtId="0" fontId="2" fillId="16" borderId="2" xfId="0" applyFont="1" applyFill="1" applyBorder="1" applyAlignment="1"/>
    <xf numFmtId="0" fontId="2" fillId="16" borderId="305" xfId="0" applyFont="1" applyFill="1" applyBorder="1" applyAlignment="1"/>
    <xf numFmtId="49" fontId="31" fillId="0" borderId="267" xfId="0" applyNumberFormat="1" applyFont="1" applyBorder="1" applyAlignment="1"/>
    <xf numFmtId="49" fontId="31" fillId="0" borderId="208" xfId="0" applyNumberFormat="1" applyFont="1" applyBorder="1" applyAlignment="1"/>
    <xf numFmtId="49" fontId="31" fillId="0" borderId="74" xfId="0" applyNumberFormat="1" applyFont="1" applyBorder="1" applyAlignment="1"/>
    <xf numFmtId="0" fontId="30" fillId="5" borderId="214" xfId="4" applyFont="1" applyFill="1" applyBorder="1" applyAlignment="1"/>
    <xf numFmtId="0" fontId="30" fillId="5" borderId="37" xfId="4" applyFont="1" applyFill="1" applyBorder="1" applyAlignment="1"/>
    <xf numFmtId="0" fontId="30" fillId="5" borderId="38" xfId="4" applyFont="1" applyFill="1" applyBorder="1" applyAlignment="1"/>
    <xf numFmtId="0" fontId="30" fillId="0" borderId="215" xfId="4" applyFont="1" applyBorder="1" applyAlignment="1"/>
    <xf numFmtId="0" fontId="30" fillId="0" borderId="263" xfId="4" applyFont="1" applyBorder="1" applyAlignment="1"/>
    <xf numFmtId="0" fontId="30" fillId="0" borderId="216" xfId="4" applyFont="1" applyBorder="1" applyAlignment="1"/>
    <xf numFmtId="49" fontId="31" fillId="0" borderId="253" xfId="0" applyNumberFormat="1" applyFont="1" applyBorder="1" applyAlignment="1"/>
    <xf numFmtId="49" fontId="31" fillId="0" borderId="254" xfId="0" applyNumberFormat="1" applyFont="1" applyBorder="1" applyAlignment="1"/>
    <xf numFmtId="49" fontId="31" fillId="0" borderId="168" xfId="0" applyNumberFormat="1" applyFont="1" applyBorder="1" applyAlignment="1"/>
    <xf numFmtId="49" fontId="31" fillId="0" borderId="255" xfId="0" applyNumberFormat="1" applyFont="1" applyBorder="1" applyAlignment="1"/>
    <xf numFmtId="0" fontId="30" fillId="0" borderId="214" xfId="4" applyFont="1" applyBorder="1" applyAlignment="1"/>
    <xf numFmtId="0" fontId="30" fillId="0" borderId="37" xfId="4" applyFont="1" applyBorder="1" applyAlignment="1"/>
    <xf numFmtId="0" fontId="30" fillId="0" borderId="38" xfId="4" applyFont="1" applyBorder="1" applyAlignment="1"/>
    <xf numFmtId="0" fontId="27" fillId="5" borderId="182" xfId="4" applyFont="1" applyFill="1" applyBorder="1" applyAlignment="1"/>
    <xf numFmtId="0" fontId="27" fillId="5" borderId="56" xfId="4" applyFont="1" applyFill="1" applyBorder="1" applyAlignment="1"/>
    <xf numFmtId="0" fontId="30" fillId="0" borderId="76" xfId="4" applyFont="1" applyBorder="1" applyAlignment="1"/>
    <xf numFmtId="0" fontId="30" fillId="0" borderId="292" xfId="4" applyFont="1" applyBorder="1" applyAlignment="1"/>
    <xf numFmtId="0" fontId="30" fillId="0" borderId="50" xfId="4" applyFont="1" applyBorder="1" applyAlignment="1"/>
    <xf numFmtId="0" fontId="30" fillId="0" borderId="293" xfId="4" applyFont="1" applyBorder="1" applyAlignment="1"/>
    <xf numFmtId="0" fontId="30" fillId="0" borderId="213" xfId="4" applyFont="1" applyBorder="1" applyAlignment="1"/>
    <xf numFmtId="0" fontId="30" fillId="0" borderId="268" xfId="4" applyFont="1" applyBorder="1" applyAlignment="1"/>
    <xf numFmtId="0" fontId="27" fillId="5" borderId="1" xfId="4" applyFont="1" applyFill="1" applyBorder="1" applyAlignment="1"/>
    <xf numFmtId="0" fontId="27" fillId="5" borderId="2" xfId="4" applyFont="1" applyFill="1" applyBorder="1" applyAlignment="1"/>
    <xf numFmtId="0" fontId="30" fillId="0" borderId="211" xfId="4" applyFont="1" applyBorder="1" applyAlignment="1"/>
    <xf numFmtId="0" fontId="30" fillId="0" borderId="295" xfId="4" applyFont="1" applyBorder="1" applyAlignment="1"/>
    <xf numFmtId="0" fontId="30" fillId="0" borderId="294" xfId="4" applyFont="1" applyBorder="1" applyAlignment="1"/>
    <xf numFmtId="0" fontId="30" fillId="0" borderId="266" xfId="4" applyFont="1" applyBorder="1" applyAlignment="1"/>
    <xf numFmtId="0" fontId="25" fillId="0" borderId="37" xfId="0" applyFont="1" applyBorder="1" applyAlignment="1"/>
    <xf numFmtId="0" fontId="25" fillId="0" borderId="40" xfId="0" applyFont="1" applyBorder="1" applyAlignment="1"/>
    <xf numFmtId="0" fontId="25" fillId="0" borderId="263" xfId="0" applyFont="1" applyBorder="1" applyAlignment="1"/>
    <xf numFmtId="0" fontId="25" fillId="0" borderId="299" xfId="0" applyFont="1" applyBorder="1" applyAlignment="1"/>
    <xf numFmtId="0" fontId="26" fillId="22" borderId="1" xfId="4" applyFont="1" applyFill="1" applyBorder="1" applyAlignment="1"/>
    <xf numFmtId="0" fontId="26" fillId="22" borderId="2" xfId="4" applyFont="1" applyFill="1" applyBorder="1" applyAlignment="1"/>
    <xf numFmtId="0" fontId="26" fillId="22" borderId="145" xfId="4" applyFont="1" applyFill="1" applyBorder="1" applyAlignment="1"/>
    <xf numFmtId="0" fontId="30" fillId="0" borderId="296" xfId="4" applyFont="1" applyBorder="1" applyAlignment="1"/>
    <xf numFmtId="0" fontId="30" fillId="0" borderId="297" xfId="4" applyFont="1" applyBorder="1" applyAlignment="1"/>
    <xf numFmtId="0" fontId="27" fillId="5" borderId="197" xfId="4" applyFont="1" applyFill="1" applyBorder="1" applyAlignment="1"/>
    <xf numFmtId="0" fontId="27" fillId="5" borderId="182" xfId="4" applyFont="1" applyFill="1" applyBorder="1" applyAlignment="1" applyProtection="1">
      <protection locked="0"/>
    </xf>
    <xf numFmtId="0" fontId="27" fillId="5" borderId="56" xfId="4" applyFont="1" applyFill="1" applyBorder="1" applyAlignment="1" applyProtection="1">
      <protection locked="0"/>
    </xf>
    <xf numFmtId="49" fontId="31" fillId="0" borderId="267" xfId="0" applyNumberFormat="1" applyFont="1" applyBorder="1" applyAlignment="1" applyProtection="1">
      <protection locked="0"/>
    </xf>
    <xf numFmtId="49" fontId="31" fillId="0" borderId="74" xfId="0" applyNumberFormat="1" applyFont="1" applyBorder="1" applyAlignment="1" applyProtection="1">
      <protection locked="0"/>
    </xf>
    <xf numFmtId="0" fontId="27" fillId="5" borderId="62" xfId="4" applyFont="1" applyFill="1" applyBorder="1" applyAlignment="1" applyProtection="1">
      <protection locked="0"/>
    </xf>
    <xf numFmtId="0" fontId="27" fillId="5" borderId="57" xfId="4" applyFont="1" applyFill="1" applyBorder="1" applyAlignment="1" applyProtection="1">
      <protection locked="0"/>
    </xf>
    <xf numFmtId="0" fontId="27" fillId="5" borderId="0" xfId="4" applyFont="1" applyFill="1" applyAlignment="1" applyProtection="1">
      <protection locked="0"/>
    </xf>
    <xf numFmtId="0" fontId="27" fillId="5" borderId="10" xfId="4" applyFont="1" applyFill="1" applyBorder="1" applyAlignment="1" applyProtection="1">
      <protection locked="0"/>
    </xf>
    <xf numFmtId="49" fontId="31" fillId="0" borderId="253" xfId="0" applyNumberFormat="1" applyFont="1" applyBorder="1" applyAlignment="1" applyProtection="1">
      <protection locked="0"/>
    </xf>
    <xf numFmtId="49" fontId="31" fillId="0" borderId="255" xfId="0" applyNumberFormat="1" applyFont="1" applyBorder="1" applyAlignment="1" applyProtection="1">
      <protection locked="0"/>
    </xf>
    <xf numFmtId="0" fontId="30" fillId="0" borderId="214" xfId="4" applyFont="1" applyBorder="1" applyAlignment="1" applyProtection="1">
      <protection locked="0"/>
    </xf>
    <xf numFmtId="0" fontId="30" fillId="0" borderId="38" xfId="4" applyFont="1" applyBorder="1" applyAlignment="1" applyProtection="1">
      <protection locked="0"/>
    </xf>
    <xf numFmtId="0" fontId="30" fillId="0" borderId="215" xfId="4" applyFont="1" applyBorder="1" applyAlignment="1" applyProtection="1">
      <protection locked="0"/>
    </xf>
    <xf numFmtId="0" fontId="30" fillId="0" borderId="216" xfId="4" applyFont="1" applyBorder="1" applyAlignment="1" applyProtection="1">
      <protection locked="0"/>
    </xf>
    <xf numFmtId="0" fontId="27" fillId="5" borderId="1" xfId="4" applyFont="1" applyFill="1" applyBorder="1" applyAlignment="1" applyProtection="1">
      <protection locked="0"/>
    </xf>
    <xf numFmtId="0" fontId="27" fillId="5" borderId="2" xfId="4" applyFont="1" applyFill="1" applyBorder="1" applyAlignment="1" applyProtection="1">
      <protection locked="0"/>
    </xf>
    <xf numFmtId="0" fontId="30" fillId="0" borderId="211" xfId="4" applyFont="1" applyBorder="1" applyAlignment="1" applyProtection="1">
      <protection locked="0"/>
    </xf>
    <xf numFmtId="0" fontId="30" fillId="0" borderId="50" xfId="4" applyFont="1" applyBorder="1" applyAlignment="1" applyProtection="1">
      <protection locked="0"/>
    </xf>
    <xf numFmtId="0" fontId="30" fillId="0" borderId="213" xfId="4" applyFont="1" applyBorder="1" applyAlignment="1" applyProtection="1">
      <protection locked="0"/>
    </xf>
    <xf numFmtId="0" fontId="30" fillId="0" borderId="254" xfId="4" applyFont="1" applyBorder="1" applyAlignment="1" applyProtection="1">
      <protection locked="0"/>
    </xf>
    <xf numFmtId="0" fontId="30" fillId="0" borderId="7" xfId="4" applyFont="1" applyBorder="1" applyAlignment="1" applyProtection="1">
      <protection locked="0"/>
    </xf>
    <xf numFmtId="0" fontId="26" fillId="22" borderId="1" xfId="4" applyFont="1" applyFill="1" applyBorder="1" applyAlignment="1" applyProtection="1">
      <protection locked="0"/>
    </xf>
    <xf numFmtId="0" fontId="26" fillId="22" borderId="2" xfId="4" applyFont="1" applyFill="1" applyBorder="1" applyAlignment="1" applyProtection="1">
      <protection locked="0"/>
    </xf>
    <xf numFmtId="0" fontId="26" fillId="22" borderId="145" xfId="4" applyFont="1" applyFill="1" applyBorder="1" applyAlignment="1" applyProtection="1">
      <protection locked="0"/>
    </xf>
    <xf numFmtId="165" fontId="30" fillId="2" borderId="31" xfId="7" applyNumberFormat="1" applyFont="1" applyFill="1" applyBorder="1"/>
    <xf numFmtId="165" fontId="30" fillId="27" borderId="141" xfId="7" applyNumberFormat="1" applyFont="1" applyFill="1" applyBorder="1"/>
    <xf numFmtId="0" fontId="25" fillId="0" borderId="16" xfId="0" applyFont="1" applyBorder="1" applyAlignment="1"/>
    <xf numFmtId="0" fontId="25" fillId="0" borderId="15" xfId="0" applyFont="1" applyBorder="1" applyAlignment="1"/>
    <xf numFmtId="0" fontId="30" fillId="0" borderId="208" xfId="4" applyFont="1" applyBorder="1" applyAlignment="1"/>
    <xf numFmtId="0" fontId="30" fillId="0" borderId="74" xfId="4" applyFont="1" applyBorder="1" applyAlignment="1"/>
    <xf numFmtId="0" fontId="30" fillId="0" borderId="228" xfId="4" applyFont="1" applyBorder="1" applyAlignment="1"/>
    <xf numFmtId="0" fontId="30" fillId="0" borderId="229" xfId="4" applyFont="1" applyBorder="1" applyAlignment="1"/>
    <xf numFmtId="0" fontId="25" fillId="24" borderId="14" xfId="0" applyFont="1" applyFill="1" applyBorder="1" applyAlignment="1"/>
    <xf numFmtId="0" fontId="25" fillId="24" borderId="16" xfId="0" applyFont="1" applyFill="1" applyBorder="1" applyAlignment="1"/>
    <xf numFmtId="0" fontId="25" fillId="24" borderId="151" xfId="0" applyFont="1" applyFill="1" applyBorder="1" applyAlignment="1"/>
    <xf numFmtId="0" fontId="30" fillId="0" borderId="28" xfId="4" applyFont="1" applyBorder="1" applyAlignment="1"/>
    <xf numFmtId="0" fontId="30" fillId="0" borderId="61" xfId="4" applyFont="1" applyBorder="1" applyAlignment="1"/>
    <xf numFmtId="0" fontId="25" fillId="0" borderId="27" xfId="0" applyFont="1" applyBorder="1" applyAlignment="1"/>
    <xf numFmtId="0" fontId="25" fillId="0" borderId="20" xfId="0" applyFont="1" applyBorder="1" applyAlignment="1"/>
    <xf numFmtId="0" fontId="30" fillId="0" borderId="27" xfId="4" applyFont="1" applyBorder="1" applyAlignment="1"/>
    <xf numFmtId="0" fontId="30" fillId="0" borderId="115" xfId="4" applyFont="1" applyBorder="1" applyAlignment="1"/>
    <xf numFmtId="0" fontId="25" fillId="24" borderId="15" xfId="0" applyFont="1" applyFill="1" applyBorder="1" applyAlignment="1"/>
    <xf numFmtId="0" fontId="25" fillId="27" borderId="14" xfId="0" applyFont="1" applyFill="1" applyBorder="1" applyAlignment="1"/>
    <xf numFmtId="0" fontId="25" fillId="27" borderId="16" xfId="0" applyFont="1" applyFill="1" applyBorder="1" applyAlignment="1"/>
    <xf numFmtId="0" fontId="25" fillId="27" borderId="151" xfId="0" applyFont="1" applyFill="1" applyBorder="1" applyAlignment="1"/>
    <xf numFmtId="0" fontId="25" fillId="0" borderId="14" xfId="0" applyFont="1" applyBorder="1" applyAlignment="1"/>
    <xf numFmtId="0" fontId="0" fillId="24" borderId="87" xfId="0" applyFill="1" applyBorder="1" applyAlignment="1"/>
    <xf numFmtId="0" fontId="0" fillId="24" borderId="65" xfId="0" applyFill="1" applyBorder="1" applyAlignment="1"/>
    <xf numFmtId="0" fontId="0" fillId="22" borderId="370" xfId="0" applyFill="1" applyBorder="1" applyAlignment="1"/>
    <xf numFmtId="0" fontId="0" fillId="22" borderId="274" xfId="0" applyFill="1" applyBorder="1" applyAlignment="1"/>
    <xf numFmtId="0" fontId="0" fillId="22" borderId="84" xfId="0" applyFill="1" applyBorder="1" applyAlignment="1"/>
    <xf numFmtId="0" fontId="0" fillId="22" borderId="270" xfId="0" applyFill="1" applyBorder="1" applyAlignment="1"/>
    <xf numFmtId="0" fontId="0" fillId="22" borderId="201" xfId="0" applyFill="1" applyBorder="1" applyAlignment="1"/>
    <xf numFmtId="0" fontId="0" fillId="22" borderId="271" xfId="0" applyFill="1" applyBorder="1" applyAlignment="1"/>
    <xf numFmtId="0" fontId="50" fillId="20" borderId="21" xfId="0" applyFont="1" applyFill="1" applyBorder="1" applyAlignment="1"/>
    <xf numFmtId="0" fontId="50" fillId="20" borderId="23" xfId="0" applyFont="1" applyFill="1" applyBorder="1" applyAlignment="1"/>
    <xf numFmtId="0" fontId="50" fillId="20" borderId="18" xfId="0" applyFont="1" applyFill="1" applyBorder="1" applyAlignment="1"/>
    <xf numFmtId="0" fontId="4" fillId="0" borderId="0" xfId="0" applyFont="1" applyAlignment="1"/>
    <xf numFmtId="0" fontId="36" fillId="0" borderId="0" xfId="0" applyFont="1" applyAlignment="1"/>
    <xf numFmtId="0" fontId="37" fillId="8" borderId="21" xfId="0" applyFont="1" applyFill="1" applyBorder="1" applyAlignment="1"/>
    <xf numFmtId="0" fontId="37" fillId="8" borderId="91" xfId="0" applyFont="1" applyFill="1" applyBorder="1" applyAlignment="1"/>
    <xf numFmtId="0" fontId="37" fillId="8" borderId="24" xfId="0" applyFont="1" applyFill="1" applyBorder="1" applyAlignment="1"/>
    <xf numFmtId="0" fontId="37" fillId="8" borderId="83" xfId="0" applyFont="1" applyFill="1" applyBorder="1" applyAlignment="1"/>
    <xf numFmtId="0" fontId="8" fillId="8" borderId="17" xfId="0" applyFont="1" applyFill="1" applyBorder="1" applyAlignment="1"/>
    <xf numFmtId="0" fontId="8" fillId="8" borderId="92" xfId="0" applyFont="1" applyFill="1" applyBorder="1" applyAlignment="1"/>
    <xf numFmtId="0" fontId="8" fillId="8" borderId="24" xfId="0" applyFont="1" applyFill="1" applyBorder="1" applyAlignment="1"/>
    <xf numFmtId="0" fontId="8" fillId="8" borderId="83" xfId="0" applyFont="1" applyFill="1" applyBorder="1" applyAlignment="1"/>
    <xf numFmtId="0" fontId="37" fillId="8" borderId="79" xfId="0" applyFont="1" applyFill="1" applyBorder="1" applyAlignment="1"/>
    <xf numFmtId="0" fontId="37" fillId="8" borderId="117" xfId="0" applyFont="1" applyFill="1" applyBorder="1" applyAlignment="1"/>
    <xf numFmtId="0" fontId="37" fillId="8" borderId="80" xfId="0" applyFont="1" applyFill="1" applyBorder="1" applyAlignment="1"/>
    <xf numFmtId="0" fontId="37" fillId="8" borderId="81" xfId="0" applyFont="1" applyFill="1" applyBorder="1" applyAlignment="1"/>
    <xf numFmtId="0" fontId="37" fillId="8" borderId="116" xfId="0" applyFont="1" applyFill="1" applyBorder="1" applyAlignment="1"/>
    <xf numFmtId="0" fontId="37" fillId="8" borderId="82" xfId="0" applyFont="1" applyFill="1" applyBorder="1" applyAlignment="1"/>
  </cellXfs>
  <cellStyles count="10">
    <cellStyle name="Comma" xfId="1" builtinId="3"/>
    <cellStyle name="Comma 3" xfId="9" xr:uid="{00000000-0005-0000-0000-000001000000}"/>
    <cellStyle name="Currency" xfId="2" builtinId="4"/>
    <cellStyle name="Currency 2 2" xfId="7" xr:uid="{00000000-0005-0000-0000-000003000000}"/>
    <cellStyle name="Normal" xfId="0" builtinId="0"/>
    <cellStyle name="Normal 2" xfId="4" xr:uid="{00000000-0005-0000-0000-000005000000}"/>
    <cellStyle name="Normal 4" xfId="8" xr:uid="{00000000-0005-0000-0000-000006000000}"/>
    <cellStyle name="Percent" xfId="3" builtinId="5"/>
    <cellStyle name="Percent 2 2" xfId="6" xr:uid="{00000000-0005-0000-0000-000008000000}"/>
    <cellStyle name="Percent 2 4" xfId="5" xr:uid="{00000000-0005-0000-0000-000009000000}"/>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font>
      <fill>
        <patternFill patternType="solid">
          <bgColor rgb="FFD2C9D9"/>
        </patternFill>
      </fill>
    </dxf>
    <dxf>
      <font>
        <b/>
        <i/>
      </font>
      <fill>
        <patternFill patternType="solid">
          <bgColor rgb="FFD2C9D9"/>
        </patternFill>
      </fill>
    </dxf>
    <dxf>
      <font>
        <b/>
        <i/>
      </font>
      <fill>
        <patternFill patternType="solid">
          <bgColor rgb="FFD2C9D9"/>
        </patternFill>
      </fill>
    </dxf>
    <dxf>
      <font>
        <b/>
        <i/>
      </font>
      <fill>
        <patternFill patternType="solid">
          <bgColor rgb="FFD2C9D9"/>
        </patternFill>
      </fill>
    </dxf>
    <dxf>
      <font>
        <b/>
        <i/>
      </font>
      <fill>
        <patternFill patternType="solid">
          <bgColor rgb="FFD2C9D9"/>
        </patternFill>
      </fill>
    </dxf>
    <dxf>
      <font>
        <b/>
        <i/>
      </font>
      <fill>
        <patternFill patternType="solid">
          <bgColor rgb="FFD2C9D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A5A5A5"/>
      <color rgb="FFD2C9D9"/>
      <color rgb="FFA795B5"/>
      <color rgb="FFFFF9E6"/>
      <color rgb="FFFFEEB7"/>
      <color rgb="FFFFE699"/>
      <color rgb="FFFF7C80"/>
      <color rgb="FFFAB6B6"/>
      <color rgb="FFECDFF5"/>
      <color rgb="FFE0DA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FD4D0-C743-4D8A-99CF-5E8A96E89061}">
  <sheetPr>
    <tabColor rgb="FFFFF9E6"/>
  </sheetPr>
  <dimension ref="A1:U260"/>
  <sheetViews>
    <sheetView showGridLines="0" tabSelected="1" workbookViewId="0">
      <selection activeCell="A76" sqref="A76"/>
    </sheetView>
  </sheetViews>
  <sheetFormatPr defaultColWidth="0" defaultRowHeight="15" zeroHeight="1"/>
  <cols>
    <col min="1" max="1" width="7.5703125" customWidth="1"/>
    <col min="2" max="2" width="35.7109375" customWidth="1"/>
    <col min="3" max="3" width="3.7109375" customWidth="1"/>
    <col min="4" max="4" width="34.42578125" customWidth="1"/>
    <col min="5" max="5" width="4" customWidth="1"/>
    <col min="6" max="6" width="9.140625" customWidth="1"/>
    <col min="7" max="7" width="21.42578125" bestFit="1" customWidth="1"/>
    <col min="8" max="9" width="9.140625" customWidth="1"/>
    <col min="10" max="13" width="9.28515625" customWidth="1"/>
    <col min="14" max="14" width="9.140625" customWidth="1"/>
    <col min="15" max="15" width="7.5703125" customWidth="1"/>
    <col min="16" max="21" width="0" hidden="1" customWidth="1"/>
    <col min="22" max="16384" width="9.140625" hidden="1"/>
  </cols>
  <sheetData>
    <row r="1" spans="2:17"/>
    <row r="2" spans="2:17" ht="18.75">
      <c r="B2" s="816" t="s">
        <v>0</v>
      </c>
      <c r="C2" s="816"/>
      <c r="D2" s="816"/>
      <c r="E2" s="816"/>
      <c r="F2" s="816"/>
      <c r="G2" s="816"/>
      <c r="H2" s="816"/>
      <c r="I2" s="816"/>
      <c r="J2" s="816"/>
      <c r="K2" s="816"/>
      <c r="L2" s="816"/>
      <c r="M2" s="816"/>
      <c r="N2" s="816"/>
      <c r="P2" s="700"/>
      <c r="Q2" s="700"/>
    </row>
    <row r="3" spans="2:17" ht="6" customHeight="1"/>
    <row r="4" spans="2:17" ht="18.75">
      <c r="B4" s="1502" t="s">
        <v>1</v>
      </c>
      <c r="C4" s="1502"/>
      <c r="D4" s="1502"/>
      <c r="E4" s="1502"/>
      <c r="F4" s="1502"/>
      <c r="G4" s="1502"/>
      <c r="H4" s="1502"/>
      <c r="I4" s="1502"/>
      <c r="J4" s="1502"/>
      <c r="K4" s="1502"/>
      <c r="L4" s="1502"/>
      <c r="M4" s="1502"/>
      <c r="N4" s="1502"/>
      <c r="P4" s="700"/>
      <c r="Q4" s="700"/>
    </row>
    <row r="5" spans="2:17" ht="6.75" customHeight="1">
      <c r="B5" s="700"/>
      <c r="C5" s="700"/>
      <c r="D5" s="700"/>
      <c r="E5" s="700"/>
      <c r="F5" s="700"/>
      <c r="G5" s="700"/>
      <c r="H5" s="700"/>
      <c r="I5" s="700"/>
      <c r="J5" s="700"/>
      <c r="K5" s="700"/>
      <c r="L5" s="700"/>
      <c r="M5" s="700"/>
      <c r="N5" s="700"/>
      <c r="P5" s="700"/>
      <c r="Q5" s="700"/>
    </row>
    <row r="6" spans="2:17">
      <c r="B6" s="723" t="s">
        <v>2</v>
      </c>
      <c r="C6" s="817"/>
      <c r="D6" s="817"/>
      <c r="E6" s="817"/>
      <c r="F6" s="817"/>
      <c r="G6" s="817"/>
      <c r="H6" s="817"/>
      <c r="I6" s="817"/>
      <c r="J6" s="817"/>
      <c r="K6" s="817"/>
      <c r="L6" s="817"/>
      <c r="M6" s="817"/>
      <c r="N6" s="818"/>
    </row>
    <row r="7" spans="2:17">
      <c r="B7" s="713" t="s">
        <v>3</v>
      </c>
      <c r="C7" s="826"/>
      <c r="D7" s="826"/>
      <c r="E7" s="826"/>
      <c r="F7" s="826"/>
      <c r="G7" s="826"/>
      <c r="H7" s="826"/>
      <c r="I7" s="826"/>
      <c r="J7" s="826"/>
      <c r="K7" s="826"/>
      <c r="L7" s="826"/>
      <c r="M7" s="826"/>
      <c r="N7" s="827"/>
    </row>
    <row r="8" spans="2:17" ht="6.75" customHeight="1">
      <c r="B8" s="700"/>
      <c r="C8" s="700"/>
      <c r="D8" s="700"/>
      <c r="E8" s="700"/>
      <c r="F8" s="700"/>
      <c r="G8" s="700"/>
      <c r="H8" s="700"/>
      <c r="I8" s="700"/>
      <c r="J8" s="700"/>
      <c r="K8" s="700"/>
      <c r="L8" s="700"/>
      <c r="M8" s="700"/>
      <c r="N8" s="700"/>
      <c r="P8" s="700"/>
      <c r="Q8" s="700"/>
    </row>
    <row r="9" spans="2:17">
      <c r="B9" s="723" t="s">
        <v>4</v>
      </c>
      <c r="C9" s="817"/>
      <c r="D9" s="817"/>
      <c r="E9" s="817"/>
      <c r="F9" s="817"/>
      <c r="G9" s="817"/>
      <c r="H9" s="817"/>
      <c r="I9" s="817"/>
      <c r="J9" s="817"/>
      <c r="K9" s="817"/>
      <c r="L9" s="817"/>
      <c r="M9" s="817"/>
      <c r="N9" s="818"/>
    </row>
    <row r="10" spans="2:17">
      <c r="B10" s="711" t="s">
        <v>5</v>
      </c>
      <c r="C10" s="819"/>
      <c r="D10" s="819"/>
      <c r="E10" s="819"/>
      <c r="F10" s="819"/>
      <c r="G10" s="819"/>
      <c r="H10" s="819"/>
      <c r="I10" s="819"/>
      <c r="J10" s="819"/>
      <c r="K10" s="819"/>
      <c r="L10" s="819"/>
      <c r="M10" s="819"/>
      <c r="N10" s="820"/>
    </row>
    <row r="11" spans="2:17">
      <c r="B11" s="712" t="s">
        <v>6</v>
      </c>
      <c r="C11" s="821"/>
      <c r="D11" s="821"/>
      <c r="E11" s="821"/>
      <c r="F11" s="821"/>
      <c r="G11" s="821"/>
      <c r="H11" s="821"/>
      <c r="I11" s="821"/>
      <c r="J11" s="821"/>
      <c r="K11" s="821"/>
      <c r="L11" s="821"/>
      <c r="M11" s="821"/>
      <c r="N11" s="822"/>
    </row>
    <row r="12" spans="2:17">
      <c r="B12" s="710" t="s">
        <v>7</v>
      </c>
      <c r="C12" s="821"/>
      <c r="D12" s="821"/>
      <c r="E12" s="821"/>
      <c r="F12" s="821"/>
      <c r="G12" s="821"/>
      <c r="H12" s="821"/>
      <c r="I12" s="821"/>
      <c r="J12" s="821"/>
      <c r="K12" s="821"/>
      <c r="L12" s="821"/>
      <c r="M12" s="821"/>
      <c r="N12" s="822"/>
    </row>
    <row r="13" spans="2:17">
      <c r="B13" s="711" t="s">
        <v>8</v>
      </c>
      <c r="C13" s="821"/>
      <c r="D13" s="821"/>
      <c r="E13" s="821"/>
      <c r="F13" s="821"/>
      <c r="G13" s="821"/>
      <c r="H13" s="821"/>
      <c r="I13" s="821"/>
      <c r="J13" s="821"/>
      <c r="K13" s="821"/>
      <c r="L13" s="821"/>
      <c r="M13" s="821"/>
      <c r="N13" s="822"/>
    </row>
    <row r="14" spans="2:17">
      <c r="B14" s="713" t="s">
        <v>9</v>
      </c>
      <c r="C14" s="826"/>
      <c r="D14" s="826"/>
      <c r="E14" s="826"/>
      <c r="F14" s="826"/>
      <c r="G14" s="826"/>
      <c r="H14" s="826"/>
      <c r="I14" s="826"/>
      <c r="J14" s="826"/>
      <c r="K14" s="826"/>
      <c r="L14" s="826"/>
      <c r="M14" s="826"/>
      <c r="N14" s="827"/>
    </row>
    <row r="15" spans="2:17"/>
    <row r="16" spans="2:17" ht="18.75">
      <c r="B16" s="1502" t="s">
        <v>10</v>
      </c>
      <c r="C16" s="1502"/>
      <c r="D16" s="1502"/>
      <c r="E16" s="1502"/>
      <c r="F16" s="1502"/>
      <c r="G16" s="1502"/>
      <c r="H16" s="1502"/>
      <c r="I16" s="1502"/>
      <c r="J16" s="1502"/>
      <c r="K16" s="1502"/>
      <c r="L16" s="1502"/>
      <c r="M16" s="1502"/>
      <c r="N16" s="1502"/>
      <c r="P16" s="700"/>
      <c r="Q16" s="700"/>
    </row>
    <row r="17" spans="2:17" ht="6.75" customHeight="1">
      <c r="B17" s="700"/>
      <c r="C17" s="700"/>
      <c r="D17" s="700"/>
      <c r="E17" s="700"/>
      <c r="F17" s="700"/>
      <c r="G17" s="700"/>
      <c r="H17" s="700"/>
      <c r="I17" s="700"/>
      <c r="J17" s="700"/>
      <c r="K17" s="700"/>
      <c r="L17" s="700"/>
      <c r="M17" s="700"/>
      <c r="N17" s="700"/>
      <c r="P17" s="700"/>
      <c r="Q17" s="700"/>
    </row>
    <row r="18" spans="2:17" ht="30" customHeight="1">
      <c r="B18" s="724"/>
      <c r="C18" s="5" t="s">
        <v>11</v>
      </c>
      <c r="D18" s="724"/>
      <c r="E18" s="5"/>
      <c r="F18" s="823"/>
      <c r="G18" s="823"/>
    </row>
    <row r="19" spans="2:17">
      <c r="B19" s="5" t="s">
        <v>12</v>
      </c>
      <c r="C19" s="5"/>
      <c r="D19" s="5" t="s">
        <v>13</v>
      </c>
      <c r="E19" s="5"/>
      <c r="F19" s="825" t="s">
        <v>14</v>
      </c>
      <c r="G19" s="825"/>
      <c r="H19" s="5"/>
    </row>
    <row r="20" spans="2:17" ht="12" customHeight="1"/>
    <row r="21" spans="2:17" ht="18.75">
      <c r="B21" s="1502" t="s">
        <v>15</v>
      </c>
      <c r="C21" s="1502"/>
      <c r="D21" s="1502"/>
      <c r="E21" s="1502"/>
      <c r="F21" s="1502"/>
      <c r="G21" s="1502"/>
      <c r="H21" s="1502"/>
      <c r="I21" s="1502"/>
      <c r="J21" s="1502"/>
      <c r="K21" s="1502"/>
      <c r="L21" s="1502"/>
      <c r="M21" s="1502"/>
      <c r="N21" s="1502"/>
      <c r="P21" s="700"/>
      <c r="Q21" s="700"/>
    </row>
    <row r="22" spans="2:17" ht="6.75" customHeight="1">
      <c r="B22" s="700"/>
      <c r="C22" s="700"/>
      <c r="D22" s="700"/>
      <c r="E22" s="700"/>
      <c r="F22" s="700"/>
      <c r="G22" s="700"/>
      <c r="H22" s="700"/>
      <c r="I22" s="700"/>
      <c r="J22" s="700"/>
      <c r="K22" s="700"/>
      <c r="L22" s="700"/>
      <c r="M22" s="700"/>
      <c r="N22" s="700"/>
      <c r="P22" s="700"/>
      <c r="Q22" s="700"/>
    </row>
    <row r="23" spans="2:17" ht="30" customHeight="1">
      <c r="B23" s="104" t="s">
        <v>16</v>
      </c>
      <c r="D23" s="725"/>
      <c r="E23" s="5"/>
      <c r="F23" s="823"/>
      <c r="G23" s="823"/>
    </row>
    <row r="24" spans="2:17">
      <c r="D24" s="5" t="s">
        <v>17</v>
      </c>
      <c r="E24" s="5"/>
      <c r="F24" s="824" t="s">
        <v>18</v>
      </c>
      <c r="G24" s="824"/>
    </row>
    <row r="25" spans="2:17" ht="30" customHeight="1">
      <c r="B25" s="104" t="s">
        <v>19</v>
      </c>
      <c r="D25" s="725"/>
      <c r="E25" s="5"/>
      <c r="F25" s="823"/>
      <c r="G25" s="823"/>
    </row>
    <row r="26" spans="2:17">
      <c r="D26" s="5" t="s">
        <v>17</v>
      </c>
      <c r="E26" s="5"/>
      <c r="F26" s="824" t="s">
        <v>18</v>
      </c>
      <c r="G26" s="824"/>
    </row>
    <row r="27" spans="2:17" ht="8.25" customHeight="1"/>
    <row r="28" spans="2:17" ht="18.75">
      <c r="B28" s="1502" t="s">
        <v>20</v>
      </c>
      <c r="C28" s="1502"/>
      <c r="D28" s="1502"/>
      <c r="E28" s="1502"/>
      <c r="F28" s="1502"/>
      <c r="G28" s="1502"/>
      <c r="H28" s="1502"/>
      <c r="I28" s="1502"/>
      <c r="J28" s="1502"/>
      <c r="K28" s="1502"/>
      <c r="L28" s="1502"/>
      <c r="M28" s="1502"/>
      <c r="N28" s="1502"/>
      <c r="P28" s="700"/>
      <c r="Q28" s="700"/>
    </row>
    <row r="29" spans="2:17" ht="6.75" customHeight="1">
      <c r="B29" s="700"/>
      <c r="C29" s="700"/>
      <c r="D29" s="700"/>
      <c r="E29" s="700"/>
      <c r="F29" s="700"/>
      <c r="G29" s="700"/>
      <c r="H29" s="700"/>
      <c r="I29" s="700"/>
      <c r="J29" s="700"/>
      <c r="K29" s="700"/>
      <c r="L29" s="700"/>
      <c r="M29" s="700"/>
      <c r="N29" s="700"/>
      <c r="P29" s="700"/>
      <c r="Q29" s="700"/>
    </row>
    <row r="30" spans="2:17">
      <c r="B30" s="709" t="s">
        <v>21</v>
      </c>
      <c r="C30" s="1503"/>
      <c r="D30" s="1503"/>
      <c r="E30" s="1503"/>
      <c r="F30" s="1503"/>
      <c r="G30" s="1503"/>
      <c r="H30" s="1503"/>
      <c r="I30" s="1503"/>
      <c r="J30" s="1503"/>
      <c r="K30" s="1503"/>
      <c r="L30" s="1503"/>
      <c r="M30" s="1503"/>
      <c r="N30" s="1504"/>
    </row>
    <row r="31" spans="2:17">
      <c r="B31" s="714" t="s">
        <v>22</v>
      </c>
      <c r="C31" s="1505"/>
      <c r="D31" s="1505"/>
      <c r="E31" s="1505"/>
      <c r="F31" s="1505"/>
      <c r="G31" s="1505"/>
      <c r="H31" s="1505"/>
      <c r="I31" s="1505"/>
      <c r="J31" s="1505"/>
      <c r="K31" s="1505"/>
      <c r="L31" s="1505"/>
      <c r="M31" s="1505"/>
      <c r="N31" s="1506"/>
    </row>
    <row r="32" spans="2:17"/>
    <row r="33" spans="2:21" ht="18.75">
      <c r="B33" s="1502" t="s">
        <v>23</v>
      </c>
      <c r="C33" s="1502"/>
      <c r="D33" s="1502"/>
      <c r="E33" s="1502"/>
      <c r="F33" s="1502"/>
      <c r="G33" s="1502"/>
      <c r="H33" s="1502"/>
      <c r="I33" s="1502"/>
      <c r="J33" s="1502"/>
      <c r="K33" s="1502"/>
      <c r="L33" s="1502"/>
      <c r="M33" s="1502"/>
      <c r="N33" s="1502"/>
      <c r="P33" s="700"/>
      <c r="Q33" s="700"/>
    </row>
    <row r="34" spans="2:21" ht="6.75" customHeight="1">
      <c r="B34" s="700"/>
      <c r="C34" s="700"/>
      <c r="D34" s="700"/>
      <c r="E34" s="700"/>
      <c r="F34" s="700"/>
      <c r="G34" s="700"/>
      <c r="H34" s="700"/>
      <c r="I34" s="700"/>
      <c r="J34" s="700"/>
      <c r="K34" s="700"/>
      <c r="L34" s="700"/>
      <c r="M34" s="700"/>
      <c r="N34" s="700"/>
      <c r="P34" s="700"/>
      <c r="Q34" s="700"/>
    </row>
    <row r="35" spans="2:21">
      <c r="B35" s="709" t="s">
        <v>24</v>
      </c>
      <c r="C35" s="808"/>
      <c r="D35" s="808"/>
      <c r="E35" s="808"/>
      <c r="F35" s="808"/>
      <c r="G35" s="808"/>
      <c r="H35" s="808"/>
      <c r="I35" s="808"/>
      <c r="J35" s="808"/>
      <c r="K35" s="808"/>
      <c r="L35" s="808"/>
      <c r="M35" s="808"/>
      <c r="N35" s="809"/>
    </row>
    <row r="36" spans="2:21">
      <c r="B36" s="712" t="s">
        <v>25</v>
      </c>
      <c r="C36" s="813"/>
      <c r="D36" s="814"/>
      <c r="E36" s="814"/>
      <c r="F36" s="814"/>
      <c r="G36" s="814"/>
      <c r="H36" s="814"/>
      <c r="I36" s="814"/>
      <c r="J36" s="814"/>
      <c r="K36" s="814"/>
      <c r="L36" s="814"/>
      <c r="M36" s="814"/>
      <c r="N36" s="815"/>
      <c r="U36" s="104"/>
    </row>
    <row r="37" spans="2:21">
      <c r="B37" s="767" t="s">
        <v>26</v>
      </c>
      <c r="C37" s="810"/>
      <c r="D37" s="811"/>
      <c r="E37" s="811"/>
      <c r="F37" s="811"/>
      <c r="G37" s="811"/>
      <c r="H37" s="811"/>
      <c r="I37" s="811"/>
      <c r="J37" s="811"/>
      <c r="K37" s="811"/>
      <c r="L37" s="811"/>
      <c r="M37" s="811"/>
      <c r="N37" s="812"/>
      <c r="U37" s="104"/>
    </row>
    <row r="38" spans="2:21"/>
    <row r="39" spans="2:21" ht="18.75">
      <c r="B39" s="1502" t="s">
        <v>27</v>
      </c>
      <c r="C39" s="1502"/>
      <c r="D39" s="1502"/>
      <c r="E39" s="1502"/>
      <c r="F39" s="1502"/>
      <c r="G39" s="1502"/>
      <c r="H39" s="1502"/>
      <c r="I39" s="1502"/>
      <c r="J39" s="1502"/>
      <c r="K39" s="1502"/>
      <c r="L39" s="1502"/>
      <c r="M39" s="1502"/>
      <c r="N39" s="1502"/>
      <c r="P39" s="700"/>
      <c r="Q39" s="700"/>
    </row>
    <row r="40" spans="2:21" ht="6.75" customHeight="1">
      <c r="B40" s="700"/>
      <c r="C40" s="700"/>
      <c r="D40" s="700"/>
      <c r="E40" s="700"/>
      <c r="F40" s="700"/>
      <c r="G40" s="700"/>
      <c r="H40" s="700"/>
      <c r="I40" s="700"/>
      <c r="J40" s="700"/>
      <c r="K40" s="700"/>
      <c r="L40" s="700"/>
      <c r="M40" s="700"/>
      <c r="N40" s="700"/>
      <c r="P40" s="700"/>
      <c r="Q40" s="700"/>
    </row>
    <row r="41" spans="2:21">
      <c r="B41" s="709" t="s">
        <v>28</v>
      </c>
      <c r="C41" s="808"/>
      <c r="D41" s="808"/>
      <c r="E41" s="808"/>
      <c r="F41" s="808"/>
      <c r="G41" s="808"/>
      <c r="H41" s="808"/>
      <c r="I41" s="808"/>
      <c r="J41" s="808"/>
      <c r="K41" s="808"/>
      <c r="L41" s="808"/>
      <c r="M41" s="808"/>
      <c r="N41" s="809"/>
    </row>
    <row r="42" spans="2:21">
      <c r="B42" s="712" t="s">
        <v>29</v>
      </c>
      <c r="C42" s="813" t="s">
        <v>30</v>
      </c>
      <c r="D42" s="814"/>
      <c r="E42" s="814"/>
      <c r="F42" s="832"/>
      <c r="G42" s="833">
        <f>IF(C42="Research (On-Campus)", Constants!$C$33,
IF(C42="Research (Off-Campus)", Constants!$C$34,
IF(C42="No F&amp;A", Constants!$C$35,
IF(C42="Training Rate", Constants!$C$36,
IF(C42="Other Sponsor Limitation", "", "")))))</f>
        <v>0.47599999999999998</v>
      </c>
      <c r="H42" s="834"/>
      <c r="I42" s="834"/>
      <c r="J42" s="834"/>
      <c r="K42" s="834"/>
      <c r="L42" s="834"/>
      <c r="M42" s="834"/>
      <c r="N42" s="835"/>
      <c r="U42" s="104"/>
    </row>
    <row r="43" spans="2:21">
      <c r="B43" s="710" t="s">
        <v>31</v>
      </c>
      <c r="C43" s="836" t="str">
        <f>IF(C42="Research (On-Campus)",Constants!D33,IF(C42="Research (Off-Campus)",Constants!D34,IF(C42="No F&amp;A",Constants!D35,
IF(C42="Training Rate",Constants!D36,IF(C42="Custom Rate - Enter Rate Here -----------&gt;",Constants!D37,"")))))</f>
        <v>On-Campus Rate must be used unless there is a published sponsor policy.</v>
      </c>
      <c r="D43" s="837"/>
      <c r="E43" s="837"/>
      <c r="F43" s="837"/>
      <c r="G43" s="837"/>
      <c r="H43" s="837"/>
      <c r="I43" s="837"/>
      <c r="J43" s="837"/>
      <c r="K43" s="837"/>
      <c r="L43" s="837"/>
      <c r="M43" s="837"/>
      <c r="N43" s="838"/>
      <c r="U43" s="104"/>
    </row>
    <row r="44" spans="2:21">
      <c r="B44" s="713" t="s">
        <v>32</v>
      </c>
      <c r="C44" s="1505"/>
      <c r="D44" s="1505"/>
      <c r="E44" s="1505"/>
      <c r="F44" s="1505"/>
      <c r="G44" s="1505"/>
      <c r="H44" s="1505"/>
      <c r="I44" s="1505"/>
      <c r="J44" s="1505"/>
      <c r="K44" s="1505"/>
      <c r="L44" s="1505"/>
      <c r="M44" s="1505"/>
      <c r="N44" s="1506"/>
      <c r="U44" s="104"/>
    </row>
    <row r="45" spans="2:21" ht="6.75" customHeight="1">
      <c r="B45" s="700"/>
      <c r="C45" s="700"/>
      <c r="D45" s="700"/>
      <c r="E45" s="700"/>
      <c r="F45" s="700"/>
      <c r="G45" s="700"/>
      <c r="H45" s="700"/>
      <c r="I45" s="700"/>
      <c r="J45" s="700"/>
      <c r="K45" s="700"/>
      <c r="L45" s="700"/>
      <c r="M45" s="700"/>
      <c r="N45" s="700"/>
      <c r="P45" s="700"/>
      <c r="Q45" s="700"/>
    </row>
    <row r="46" spans="2:21">
      <c r="B46" s="719" t="s">
        <v>33</v>
      </c>
      <c r="C46" s="765" t="s">
        <v>34</v>
      </c>
      <c r="D46" s="839"/>
      <c r="E46" s="839"/>
      <c r="F46" s="839"/>
      <c r="G46" s="839"/>
      <c r="H46" s="839"/>
      <c r="I46" s="839"/>
      <c r="J46" s="839"/>
      <c r="K46" s="839"/>
      <c r="L46" s="839"/>
      <c r="M46" s="839"/>
      <c r="N46" s="840"/>
    </row>
    <row r="47" spans="2:21">
      <c r="B47" s="715"/>
      <c r="C47" s="766" t="s">
        <v>35</v>
      </c>
      <c r="D47" s="839"/>
      <c r="E47" s="839"/>
      <c r="F47" s="839"/>
      <c r="G47" s="839"/>
      <c r="H47" s="839"/>
      <c r="I47" s="839"/>
      <c r="J47" s="839"/>
      <c r="K47" s="839"/>
      <c r="L47" s="839"/>
      <c r="M47" s="839"/>
      <c r="N47" s="840"/>
    </row>
    <row r="48" spans="2:21">
      <c r="B48" s="715"/>
      <c r="C48" s="766" t="s">
        <v>36</v>
      </c>
      <c r="D48" s="839"/>
      <c r="E48" s="839"/>
      <c r="F48" s="839"/>
      <c r="G48" s="839"/>
      <c r="H48" s="839"/>
      <c r="I48" s="839"/>
      <c r="J48" s="839"/>
      <c r="K48" s="839"/>
      <c r="L48" s="839"/>
      <c r="M48" s="839"/>
      <c r="N48" s="840"/>
    </row>
    <row r="49" spans="2:17">
      <c r="B49" s="715"/>
      <c r="C49" s="766" t="s">
        <v>37</v>
      </c>
      <c r="D49" s="839"/>
      <c r="E49" s="839"/>
      <c r="F49" s="839"/>
      <c r="G49" s="839"/>
      <c r="H49" s="839"/>
      <c r="I49" s="839"/>
      <c r="J49" s="839"/>
      <c r="K49" s="839"/>
      <c r="L49" s="839"/>
      <c r="M49" s="839"/>
      <c r="N49" s="840"/>
    </row>
    <row r="50" spans="2:17">
      <c r="B50" s="715"/>
      <c r="C50" s="766" t="s">
        <v>38</v>
      </c>
      <c r="D50" s="839"/>
      <c r="E50" s="839"/>
      <c r="F50" s="839"/>
      <c r="G50" s="839"/>
      <c r="H50" s="839"/>
      <c r="I50" s="839"/>
      <c r="J50" s="839"/>
      <c r="K50" s="839"/>
      <c r="L50" s="839"/>
      <c r="M50" s="839"/>
      <c r="N50" s="840"/>
    </row>
    <row r="51" spans="2:17">
      <c r="B51" s="716"/>
      <c r="C51" s="766" t="s">
        <v>39</v>
      </c>
      <c r="D51" s="841"/>
      <c r="E51" s="841"/>
      <c r="F51" s="841"/>
      <c r="G51" s="841"/>
      <c r="H51" s="841"/>
      <c r="I51" s="841"/>
      <c r="J51" s="841"/>
      <c r="K51" s="841"/>
      <c r="L51" s="841"/>
      <c r="M51" s="841"/>
      <c r="N51" s="842"/>
    </row>
    <row r="52" spans="2:17" ht="6.75" customHeight="1">
      <c r="B52" s="700"/>
      <c r="C52" s="700"/>
      <c r="D52" s="700"/>
      <c r="E52" s="700"/>
      <c r="F52" s="700"/>
      <c r="G52" s="700"/>
      <c r="H52" s="700"/>
      <c r="I52" s="700"/>
      <c r="J52" s="700"/>
      <c r="K52" s="700"/>
      <c r="L52" s="700"/>
      <c r="M52" s="700"/>
      <c r="N52" s="700"/>
      <c r="P52" s="700"/>
      <c r="Q52" s="700"/>
    </row>
    <row r="53" spans="2:17">
      <c r="B53" s="719" t="s">
        <v>40</v>
      </c>
      <c r="C53" s="765" t="s">
        <v>34</v>
      </c>
      <c r="D53" s="839"/>
      <c r="E53" s="839"/>
      <c r="F53" s="839"/>
      <c r="G53" s="839"/>
      <c r="H53" s="839"/>
      <c r="I53" s="839"/>
      <c r="J53" s="839"/>
      <c r="K53" s="839"/>
      <c r="L53" s="839"/>
      <c r="M53" s="839"/>
      <c r="N53" s="840"/>
    </row>
    <row r="54" spans="2:17">
      <c r="B54" s="715"/>
      <c r="C54" s="766" t="s">
        <v>35</v>
      </c>
      <c r="D54" s="839"/>
      <c r="E54" s="839"/>
      <c r="F54" s="839"/>
      <c r="G54" s="839"/>
      <c r="H54" s="839"/>
      <c r="I54" s="839"/>
      <c r="J54" s="839"/>
      <c r="K54" s="839"/>
      <c r="L54" s="839"/>
      <c r="M54" s="839"/>
      <c r="N54" s="840"/>
    </row>
    <row r="55" spans="2:17">
      <c r="B55" s="715"/>
      <c r="C55" s="766" t="s">
        <v>36</v>
      </c>
      <c r="D55" s="839"/>
      <c r="E55" s="839"/>
      <c r="F55" s="839"/>
      <c r="G55" s="839"/>
      <c r="H55" s="839"/>
      <c r="I55" s="839"/>
      <c r="J55" s="839"/>
      <c r="K55" s="839"/>
      <c r="L55" s="839"/>
      <c r="M55" s="839"/>
      <c r="N55" s="840"/>
    </row>
    <row r="56" spans="2:17">
      <c r="B56" s="715"/>
      <c r="C56" s="766" t="s">
        <v>37</v>
      </c>
      <c r="D56" s="839"/>
      <c r="E56" s="839"/>
      <c r="F56" s="839"/>
      <c r="G56" s="839"/>
      <c r="H56" s="839"/>
      <c r="I56" s="839"/>
      <c r="J56" s="839"/>
      <c r="K56" s="839"/>
      <c r="L56" s="839"/>
      <c r="M56" s="839"/>
      <c r="N56" s="840"/>
    </row>
    <row r="57" spans="2:17">
      <c r="B57" s="715"/>
      <c r="C57" s="766" t="s">
        <v>38</v>
      </c>
      <c r="D57" s="839"/>
      <c r="E57" s="839"/>
      <c r="F57" s="839"/>
      <c r="G57" s="839"/>
      <c r="H57" s="839"/>
      <c r="I57" s="839"/>
      <c r="J57" s="839"/>
      <c r="K57" s="839"/>
      <c r="L57" s="839"/>
      <c r="M57" s="839"/>
      <c r="N57" s="840"/>
    </row>
    <row r="58" spans="2:17">
      <c r="B58" s="716"/>
      <c r="C58" s="766" t="s">
        <v>39</v>
      </c>
      <c r="D58" s="841"/>
      <c r="E58" s="841"/>
      <c r="F58" s="841"/>
      <c r="G58" s="841"/>
      <c r="H58" s="841"/>
      <c r="I58" s="841"/>
      <c r="J58" s="841"/>
      <c r="K58" s="841"/>
      <c r="L58" s="841"/>
      <c r="M58" s="841"/>
      <c r="N58" s="842"/>
    </row>
    <row r="59" spans="2:17" ht="6.75" customHeight="1">
      <c r="B59" s="700"/>
      <c r="C59" s="700"/>
      <c r="D59" s="700"/>
      <c r="E59" s="700"/>
      <c r="F59" s="700"/>
      <c r="G59" s="700"/>
      <c r="H59" s="700"/>
      <c r="I59" s="700"/>
      <c r="J59" s="700"/>
      <c r="K59" s="700"/>
      <c r="L59" s="700"/>
      <c r="M59" s="700"/>
      <c r="N59" s="700"/>
      <c r="P59" s="700"/>
      <c r="Q59" s="700"/>
    </row>
    <row r="60" spans="2:17">
      <c r="B60" s="719" t="s">
        <v>26</v>
      </c>
      <c r="C60" s="765" t="s">
        <v>34</v>
      </c>
      <c r="D60" s="839"/>
      <c r="E60" s="839"/>
      <c r="F60" s="839"/>
      <c r="G60" s="839"/>
      <c r="H60" s="839"/>
      <c r="I60" s="839"/>
      <c r="J60" s="839"/>
      <c r="K60" s="839"/>
      <c r="L60" s="839"/>
      <c r="M60" s="839"/>
      <c r="N60" s="840"/>
    </row>
    <row r="61" spans="2:17">
      <c r="B61" s="717"/>
      <c r="C61" s="766" t="s">
        <v>35</v>
      </c>
      <c r="D61" s="839"/>
      <c r="E61" s="839"/>
      <c r="F61" s="839"/>
      <c r="G61" s="839"/>
      <c r="H61" s="839"/>
      <c r="I61" s="839"/>
      <c r="J61" s="839"/>
      <c r="K61" s="839"/>
      <c r="L61" s="839"/>
      <c r="M61" s="839"/>
      <c r="N61" s="840"/>
    </row>
    <row r="62" spans="2:17">
      <c r="B62" s="717"/>
      <c r="C62" s="766" t="s">
        <v>36</v>
      </c>
      <c r="D62" s="839"/>
      <c r="E62" s="839"/>
      <c r="F62" s="839"/>
      <c r="G62" s="839"/>
      <c r="H62" s="839"/>
      <c r="I62" s="839"/>
      <c r="J62" s="839"/>
      <c r="K62" s="839"/>
      <c r="L62" s="839"/>
      <c r="M62" s="839"/>
      <c r="N62" s="840"/>
    </row>
    <row r="63" spans="2:17">
      <c r="B63" s="717"/>
      <c r="C63" s="766" t="s">
        <v>37</v>
      </c>
      <c r="D63" s="839"/>
      <c r="E63" s="839"/>
      <c r="F63" s="839"/>
      <c r="G63" s="839"/>
      <c r="H63" s="839"/>
      <c r="I63" s="839"/>
      <c r="J63" s="839"/>
      <c r="K63" s="839"/>
      <c r="L63" s="839"/>
      <c r="M63" s="839"/>
      <c r="N63" s="840"/>
    </row>
    <row r="64" spans="2:17">
      <c r="B64" s="717"/>
      <c r="C64" s="766" t="s">
        <v>38</v>
      </c>
      <c r="D64" s="839"/>
      <c r="E64" s="839"/>
      <c r="F64" s="839"/>
      <c r="G64" s="839"/>
      <c r="H64" s="839"/>
      <c r="I64" s="839"/>
      <c r="J64" s="839"/>
      <c r="K64" s="839"/>
      <c r="L64" s="839"/>
      <c r="M64" s="839"/>
      <c r="N64" s="840"/>
    </row>
    <row r="65" spans="2:17">
      <c r="B65" s="718"/>
      <c r="C65" s="766" t="s">
        <v>39</v>
      </c>
      <c r="D65" s="841"/>
      <c r="E65" s="841"/>
      <c r="F65" s="841"/>
      <c r="G65" s="841"/>
      <c r="H65" s="841"/>
      <c r="I65" s="841"/>
      <c r="J65" s="841"/>
      <c r="K65" s="841"/>
      <c r="L65" s="841"/>
      <c r="M65" s="841"/>
      <c r="N65" s="842"/>
    </row>
    <row r="66" spans="2:17"/>
    <row r="67" spans="2:17" ht="18.75">
      <c r="B67" s="1502" t="s">
        <v>41</v>
      </c>
      <c r="C67" s="1502"/>
      <c r="D67" s="1502"/>
      <c r="E67" s="1502"/>
      <c r="F67" s="1502"/>
      <c r="G67" s="1502"/>
      <c r="H67" s="1502"/>
      <c r="I67" s="1502"/>
      <c r="J67" s="1502"/>
      <c r="K67" s="1502"/>
      <c r="L67" s="1502"/>
      <c r="M67" s="1502"/>
      <c r="N67" s="1502"/>
      <c r="P67" s="700"/>
      <c r="Q67" s="700"/>
    </row>
    <row r="68" spans="2:17" ht="6.75" customHeight="1">
      <c r="B68" s="700"/>
      <c r="C68" s="700"/>
      <c r="D68" s="700"/>
      <c r="E68" s="700"/>
      <c r="F68" s="700"/>
      <c r="G68" s="700"/>
      <c r="H68" s="700"/>
      <c r="I68" s="700"/>
      <c r="J68" s="700"/>
      <c r="K68" s="700"/>
      <c r="L68" s="700"/>
      <c r="M68" s="700"/>
      <c r="N68" s="700"/>
      <c r="P68" s="700"/>
      <c r="Q68" s="700"/>
    </row>
    <row r="69" spans="2:17">
      <c r="B69" s="770" t="s">
        <v>42</v>
      </c>
      <c r="C69" s="1507" t="s">
        <v>43</v>
      </c>
      <c r="D69" s="1508"/>
      <c r="E69" s="1508"/>
      <c r="F69" s="1508"/>
      <c r="G69" s="1508"/>
      <c r="H69" s="1509"/>
      <c r="I69" s="851" t="s">
        <v>44</v>
      </c>
      <c r="J69" s="852"/>
      <c r="K69" s="852"/>
      <c r="L69" s="853"/>
      <c r="M69" s="851" t="s">
        <v>45</v>
      </c>
      <c r="N69" s="854"/>
    </row>
    <row r="70" spans="2:17" ht="36" customHeight="1">
      <c r="B70" s="855" t="s">
        <v>46</v>
      </c>
      <c r="C70" s="800" t="s">
        <v>47</v>
      </c>
      <c r="D70" s="801"/>
      <c r="E70" s="801"/>
      <c r="F70" s="801"/>
      <c r="G70" s="801"/>
      <c r="H70" s="802"/>
      <c r="I70" s="806" t="s">
        <v>48</v>
      </c>
      <c r="J70" s="807"/>
      <c r="K70" s="807"/>
      <c r="L70" s="807"/>
      <c r="M70" s="771" t="s">
        <v>49</v>
      </c>
      <c r="N70" s="772"/>
    </row>
    <row r="71" spans="2:17" ht="36" customHeight="1">
      <c r="B71" s="855"/>
      <c r="C71" s="800"/>
      <c r="D71" s="801"/>
      <c r="E71" s="801"/>
      <c r="F71" s="801"/>
      <c r="G71" s="801"/>
      <c r="H71" s="802"/>
      <c r="I71" s="779" t="s">
        <v>50</v>
      </c>
      <c r="J71" s="780"/>
      <c r="K71" s="780"/>
      <c r="L71" s="780"/>
      <c r="M71" s="779" t="s">
        <v>49</v>
      </c>
      <c r="N71" s="782"/>
    </row>
    <row r="72" spans="2:17" ht="36" customHeight="1">
      <c r="B72" s="855"/>
      <c r="C72" s="800"/>
      <c r="D72" s="801"/>
      <c r="E72" s="801"/>
      <c r="F72" s="801"/>
      <c r="G72" s="801"/>
      <c r="H72" s="802"/>
      <c r="I72" s="771" t="s">
        <v>50</v>
      </c>
      <c r="J72" s="789"/>
      <c r="K72" s="789"/>
      <c r="L72" s="789"/>
      <c r="M72" s="771" t="s">
        <v>51</v>
      </c>
      <c r="N72" s="772"/>
    </row>
    <row r="73" spans="2:17" ht="36" customHeight="1">
      <c r="B73" s="855"/>
      <c r="C73" s="800"/>
      <c r="D73" s="801"/>
      <c r="E73" s="801"/>
      <c r="F73" s="801"/>
      <c r="G73" s="801"/>
      <c r="H73" s="802"/>
      <c r="I73" s="779" t="s">
        <v>50</v>
      </c>
      <c r="J73" s="780"/>
      <c r="K73" s="780"/>
      <c r="L73" s="780"/>
      <c r="M73" s="779" t="s">
        <v>51</v>
      </c>
      <c r="N73" s="782"/>
    </row>
    <row r="74" spans="2:17" ht="36" customHeight="1">
      <c r="B74" s="855"/>
      <c r="C74" s="800"/>
      <c r="D74" s="801"/>
      <c r="E74" s="801"/>
      <c r="F74" s="801"/>
      <c r="G74" s="801"/>
      <c r="H74" s="802"/>
      <c r="I74" s="771" t="s">
        <v>52</v>
      </c>
      <c r="J74" s="789"/>
      <c r="K74" s="789"/>
      <c r="L74" s="789"/>
      <c r="M74" s="771" t="s">
        <v>51</v>
      </c>
      <c r="N74" s="772"/>
    </row>
    <row r="75" spans="2:17" ht="36" customHeight="1">
      <c r="B75" s="855"/>
      <c r="C75" s="800"/>
      <c r="D75" s="801"/>
      <c r="E75" s="801"/>
      <c r="F75" s="801"/>
      <c r="G75" s="801"/>
      <c r="H75" s="802"/>
      <c r="I75" s="779" t="s">
        <v>52</v>
      </c>
      <c r="J75" s="780"/>
      <c r="K75" s="780"/>
      <c r="L75" s="780"/>
      <c r="M75" s="779" t="s">
        <v>51</v>
      </c>
      <c r="N75" s="782"/>
    </row>
    <row r="76" spans="2:17" ht="36" customHeight="1">
      <c r="B76" s="855"/>
      <c r="C76" s="800"/>
      <c r="D76" s="801"/>
      <c r="E76" s="801"/>
      <c r="F76" s="801"/>
      <c r="G76" s="801"/>
      <c r="H76" s="802"/>
      <c r="I76" s="771" t="s">
        <v>52</v>
      </c>
      <c r="J76" s="789"/>
      <c r="K76" s="789"/>
      <c r="L76" s="789"/>
      <c r="M76" s="771" t="s">
        <v>51</v>
      </c>
      <c r="N76" s="772"/>
    </row>
    <row r="77" spans="2:17" ht="36" customHeight="1">
      <c r="B77" s="856"/>
      <c r="C77" s="803"/>
      <c r="D77" s="804"/>
      <c r="E77" s="804"/>
      <c r="F77" s="804"/>
      <c r="G77" s="804"/>
      <c r="H77" s="805"/>
      <c r="I77" s="779" t="s">
        <v>52</v>
      </c>
      <c r="J77" s="780"/>
      <c r="K77" s="780"/>
      <c r="L77" s="780"/>
      <c r="M77" s="779" t="s">
        <v>51</v>
      </c>
      <c r="N77" s="782"/>
    </row>
    <row r="78" spans="2:17" ht="15" customHeight="1">
      <c r="B78" s="786" t="s">
        <v>53</v>
      </c>
      <c r="C78" s="790" t="s">
        <v>54</v>
      </c>
      <c r="D78" s="791"/>
      <c r="E78" s="791"/>
      <c r="F78" s="791"/>
      <c r="G78" s="791"/>
      <c r="H78" s="792"/>
      <c r="I78" s="771" t="s">
        <v>48</v>
      </c>
      <c r="J78" s="789"/>
      <c r="K78" s="789"/>
      <c r="L78" s="799"/>
      <c r="M78" s="771" t="s">
        <v>49</v>
      </c>
      <c r="N78" s="772"/>
    </row>
    <row r="79" spans="2:17">
      <c r="B79" s="787"/>
      <c r="C79" s="793"/>
      <c r="D79" s="794"/>
      <c r="E79" s="794"/>
      <c r="F79" s="794"/>
      <c r="G79" s="794"/>
      <c r="H79" s="795"/>
      <c r="I79" s="771" t="s">
        <v>50</v>
      </c>
      <c r="J79" s="789"/>
      <c r="K79" s="789"/>
      <c r="L79" s="789"/>
      <c r="M79" s="771" t="s">
        <v>49</v>
      </c>
      <c r="N79" s="772"/>
    </row>
    <row r="80" spans="2:17">
      <c r="B80" s="787"/>
      <c r="C80" s="773" t="s">
        <v>55</v>
      </c>
      <c r="D80" s="774"/>
      <c r="E80" s="774"/>
      <c r="F80" s="774"/>
      <c r="G80" s="774"/>
      <c r="H80" s="775"/>
      <c r="I80" s="779" t="s">
        <v>48</v>
      </c>
      <c r="J80" s="780"/>
      <c r="K80" s="780"/>
      <c r="L80" s="781"/>
      <c r="M80" s="779" t="s">
        <v>51</v>
      </c>
      <c r="N80" s="782"/>
    </row>
    <row r="81" spans="2:17">
      <c r="B81" s="787"/>
      <c r="C81" s="796"/>
      <c r="D81" s="797"/>
      <c r="E81" s="797"/>
      <c r="F81" s="797"/>
      <c r="G81" s="797"/>
      <c r="H81" s="798"/>
      <c r="I81" s="779" t="s">
        <v>50</v>
      </c>
      <c r="J81" s="780"/>
      <c r="K81" s="780"/>
      <c r="L81" s="780"/>
      <c r="M81" s="779" t="s">
        <v>51</v>
      </c>
      <c r="N81" s="782"/>
    </row>
    <row r="82" spans="2:17">
      <c r="B82" s="787"/>
      <c r="C82" s="790" t="s">
        <v>56</v>
      </c>
      <c r="D82" s="791"/>
      <c r="E82" s="791"/>
      <c r="F82" s="791"/>
      <c r="G82" s="791"/>
      <c r="H82" s="792"/>
      <c r="I82" s="771" t="s">
        <v>48</v>
      </c>
      <c r="J82" s="789"/>
      <c r="K82" s="789"/>
      <c r="L82" s="799"/>
      <c r="M82" s="771" t="s">
        <v>51</v>
      </c>
      <c r="N82" s="772"/>
    </row>
    <row r="83" spans="2:17">
      <c r="B83" s="787"/>
      <c r="C83" s="793"/>
      <c r="D83" s="794"/>
      <c r="E83" s="794"/>
      <c r="F83" s="794"/>
      <c r="G83" s="794"/>
      <c r="H83" s="795"/>
      <c r="I83" s="771" t="s">
        <v>50</v>
      </c>
      <c r="J83" s="789"/>
      <c r="K83" s="789"/>
      <c r="L83" s="789"/>
      <c r="M83" s="771" t="s">
        <v>51</v>
      </c>
      <c r="N83" s="772"/>
    </row>
    <row r="84" spans="2:17">
      <c r="B84" s="787"/>
      <c r="C84" s="773" t="s">
        <v>57</v>
      </c>
      <c r="D84" s="774"/>
      <c r="E84" s="774"/>
      <c r="F84" s="774"/>
      <c r="G84" s="774"/>
      <c r="H84" s="775"/>
      <c r="I84" s="779" t="s">
        <v>48</v>
      </c>
      <c r="J84" s="780"/>
      <c r="K84" s="780"/>
      <c r="L84" s="781"/>
      <c r="M84" s="779" t="s">
        <v>51</v>
      </c>
      <c r="N84" s="782"/>
    </row>
    <row r="85" spans="2:17">
      <c r="B85" s="788"/>
      <c r="C85" s="776"/>
      <c r="D85" s="777"/>
      <c r="E85" s="777"/>
      <c r="F85" s="777"/>
      <c r="G85" s="777"/>
      <c r="H85" s="778"/>
      <c r="I85" s="783" t="s">
        <v>50</v>
      </c>
      <c r="J85" s="784"/>
      <c r="K85" s="784"/>
      <c r="L85" s="784"/>
      <c r="M85" s="783" t="s">
        <v>51</v>
      </c>
      <c r="N85" s="785"/>
    </row>
    <row r="86" spans="2:17"/>
    <row r="87" spans="2:17" ht="18.75">
      <c r="B87" s="1502" t="s">
        <v>58</v>
      </c>
      <c r="C87" s="1502"/>
      <c r="D87" s="1502"/>
      <c r="E87" s="1502"/>
      <c r="F87" s="1502"/>
      <c r="G87" s="1502"/>
      <c r="H87" s="1502"/>
      <c r="I87" s="1502"/>
      <c r="J87" s="1502"/>
      <c r="K87" s="1502"/>
      <c r="L87" s="1502"/>
      <c r="M87" s="1502"/>
      <c r="N87" s="1502"/>
      <c r="P87" s="700"/>
      <c r="Q87" s="700"/>
    </row>
    <row r="88" spans="2:17" ht="6.75" customHeight="1">
      <c r="B88" s="700"/>
      <c r="C88" s="700"/>
      <c r="D88" s="700"/>
      <c r="E88" s="700"/>
      <c r="F88" s="700"/>
      <c r="G88" s="700"/>
      <c r="H88" s="700"/>
      <c r="I88" s="700"/>
      <c r="J88" s="700"/>
      <c r="K88" s="700"/>
      <c r="L88" s="700"/>
      <c r="M88" s="700"/>
      <c r="N88" s="700"/>
      <c r="P88" s="700"/>
      <c r="Q88" s="700"/>
    </row>
    <row r="89" spans="2:17">
      <c r="B89" s="769" t="s">
        <v>42</v>
      </c>
      <c r="C89" s="1510" t="s">
        <v>43</v>
      </c>
      <c r="D89" s="1511"/>
      <c r="E89" s="1511"/>
      <c r="F89" s="1511"/>
      <c r="G89" s="1511"/>
      <c r="H89" s="1512"/>
      <c r="I89" s="830" t="s">
        <v>44</v>
      </c>
      <c r="J89" s="828"/>
      <c r="K89" s="828"/>
      <c r="L89" s="831"/>
      <c r="M89" s="828" t="s">
        <v>45</v>
      </c>
      <c r="N89" s="829"/>
    </row>
    <row r="90" spans="2:17" ht="78" customHeight="1">
      <c r="B90" s="768" t="s">
        <v>59</v>
      </c>
      <c r="C90" s="846" t="s">
        <v>60</v>
      </c>
      <c r="D90" s="846"/>
      <c r="E90" s="846"/>
      <c r="F90" s="846"/>
      <c r="G90" s="846"/>
      <c r="H90" s="846"/>
      <c r="I90" s="849" t="s">
        <v>61</v>
      </c>
      <c r="J90" s="847"/>
      <c r="K90" s="847"/>
      <c r="L90" s="850"/>
      <c r="M90" s="847" t="s">
        <v>51</v>
      </c>
      <c r="N90" s="848"/>
    </row>
    <row r="91" spans="2:17" ht="6.75" customHeight="1">
      <c r="B91" s="700"/>
      <c r="C91" s="700"/>
      <c r="D91" s="700"/>
      <c r="E91" s="700"/>
      <c r="F91" s="700"/>
      <c r="G91" s="700"/>
      <c r="H91" s="700"/>
      <c r="I91" s="700"/>
      <c r="J91" s="700"/>
      <c r="K91" s="700"/>
      <c r="L91" s="700"/>
      <c r="M91" s="700"/>
      <c r="N91" s="700"/>
      <c r="P91" s="700"/>
      <c r="Q91" s="700"/>
    </row>
    <row r="92" spans="2:17" ht="15.75" customHeight="1">
      <c r="B92" s="722" t="s">
        <v>42</v>
      </c>
      <c r="C92" s="1513" t="s">
        <v>43</v>
      </c>
      <c r="D92" s="1514"/>
      <c r="E92" s="1514"/>
      <c r="F92" s="1514"/>
      <c r="G92" s="1514"/>
      <c r="H92" s="1515"/>
      <c r="I92" s="858" t="s">
        <v>62</v>
      </c>
      <c r="J92" s="859"/>
      <c r="K92" s="858" t="s">
        <v>44</v>
      </c>
      <c r="L92" s="859"/>
      <c r="M92" s="860" t="s">
        <v>45</v>
      </c>
      <c r="N92" s="861"/>
    </row>
    <row r="93" spans="2:17">
      <c r="B93" s="720"/>
      <c r="C93" s="857"/>
      <c r="D93" s="857"/>
      <c r="E93" s="857"/>
      <c r="F93" s="857"/>
      <c r="G93" s="857"/>
      <c r="H93" s="857"/>
      <c r="I93" s="843"/>
      <c r="J93" s="843"/>
      <c r="K93" s="843"/>
      <c r="L93" s="843"/>
      <c r="M93" s="844"/>
      <c r="N93" s="845"/>
    </row>
    <row r="94" spans="2:17">
      <c r="B94" s="720"/>
      <c r="C94" s="857"/>
      <c r="D94" s="857"/>
      <c r="E94" s="857"/>
      <c r="F94" s="857"/>
      <c r="G94" s="857"/>
      <c r="H94" s="857"/>
      <c r="I94" s="843"/>
      <c r="J94" s="843"/>
      <c r="K94" s="843"/>
      <c r="L94" s="843"/>
      <c r="M94" s="844"/>
      <c r="N94" s="845"/>
    </row>
    <row r="95" spans="2:17">
      <c r="B95" s="720"/>
      <c r="C95" s="857"/>
      <c r="D95" s="857"/>
      <c r="E95" s="857"/>
      <c r="F95" s="857"/>
      <c r="G95" s="857"/>
      <c r="H95" s="857"/>
      <c r="I95" s="843"/>
      <c r="J95" s="843"/>
      <c r="K95" s="843"/>
      <c r="L95" s="843"/>
      <c r="M95" s="844"/>
      <c r="N95" s="845"/>
    </row>
    <row r="96" spans="2:17">
      <c r="B96" s="720"/>
      <c r="C96" s="857"/>
      <c r="D96" s="857"/>
      <c r="E96" s="857"/>
      <c r="F96" s="857"/>
      <c r="G96" s="857"/>
      <c r="H96" s="857"/>
      <c r="I96" s="843"/>
      <c r="J96" s="843"/>
      <c r="K96" s="843"/>
      <c r="L96" s="843"/>
      <c r="M96" s="844"/>
      <c r="N96" s="845"/>
    </row>
    <row r="97" spans="2:14">
      <c r="B97" s="720"/>
      <c r="C97" s="857"/>
      <c r="D97" s="857"/>
      <c r="E97" s="857"/>
      <c r="F97" s="857"/>
      <c r="G97" s="857"/>
      <c r="H97" s="857"/>
      <c r="I97" s="843"/>
      <c r="J97" s="843"/>
      <c r="K97" s="843"/>
      <c r="L97" s="843"/>
      <c r="M97" s="844"/>
      <c r="N97" s="845"/>
    </row>
    <row r="98" spans="2:14">
      <c r="B98" s="720"/>
      <c r="C98" s="863"/>
      <c r="D98" s="863"/>
      <c r="E98" s="863"/>
      <c r="F98" s="863"/>
      <c r="G98" s="863"/>
      <c r="H98" s="863"/>
      <c r="I98" s="843"/>
      <c r="J98" s="843"/>
      <c r="K98" s="843"/>
      <c r="L98" s="843"/>
      <c r="M98" s="844"/>
      <c r="N98" s="845"/>
    </row>
    <row r="99" spans="2:14">
      <c r="B99" s="720"/>
      <c r="C99" s="862"/>
      <c r="D99" s="862"/>
      <c r="E99" s="862"/>
      <c r="F99" s="862"/>
      <c r="G99" s="862"/>
      <c r="H99" s="862"/>
      <c r="I99" s="843"/>
      <c r="J99" s="843"/>
      <c r="K99" s="843"/>
      <c r="L99" s="843"/>
      <c r="M99" s="844"/>
      <c r="N99" s="845"/>
    </row>
    <row r="100" spans="2:14">
      <c r="B100" s="720"/>
      <c r="C100" s="857"/>
      <c r="D100" s="857"/>
      <c r="E100" s="857"/>
      <c r="F100" s="857"/>
      <c r="G100" s="857"/>
      <c r="H100" s="857"/>
      <c r="I100" s="843"/>
      <c r="J100" s="843"/>
      <c r="K100" s="843"/>
      <c r="L100" s="843"/>
      <c r="M100" s="844"/>
      <c r="N100" s="845"/>
    </row>
    <row r="101" spans="2:14">
      <c r="B101" s="720"/>
      <c r="C101" s="857"/>
      <c r="D101" s="857"/>
      <c r="E101" s="857"/>
      <c r="F101" s="857"/>
      <c r="G101" s="857"/>
      <c r="H101" s="857"/>
      <c r="I101" s="843"/>
      <c r="J101" s="843"/>
      <c r="K101" s="843"/>
      <c r="L101" s="843"/>
      <c r="M101" s="844"/>
      <c r="N101" s="845"/>
    </row>
    <row r="102" spans="2:14">
      <c r="B102" s="720"/>
      <c r="C102" s="863"/>
      <c r="D102" s="863"/>
      <c r="E102" s="863"/>
      <c r="F102" s="863"/>
      <c r="G102" s="863"/>
      <c r="H102" s="863"/>
      <c r="I102" s="843"/>
      <c r="J102" s="843"/>
      <c r="K102" s="843"/>
      <c r="L102" s="843"/>
      <c r="M102" s="844"/>
      <c r="N102" s="845"/>
    </row>
    <row r="103" spans="2:14">
      <c r="B103" s="720"/>
      <c r="C103" s="862"/>
      <c r="D103" s="862"/>
      <c r="E103" s="862"/>
      <c r="F103" s="862"/>
      <c r="G103" s="862"/>
      <c r="H103" s="862"/>
      <c r="I103" s="843"/>
      <c r="J103" s="843"/>
      <c r="K103" s="843"/>
      <c r="L103" s="843"/>
      <c r="M103" s="844"/>
      <c r="N103" s="845"/>
    </row>
    <row r="104" spans="2:14">
      <c r="B104" s="720"/>
      <c r="C104" s="857"/>
      <c r="D104" s="857"/>
      <c r="E104" s="857"/>
      <c r="F104" s="857"/>
      <c r="G104" s="857"/>
      <c r="H104" s="857"/>
      <c r="I104" s="843"/>
      <c r="J104" s="843"/>
      <c r="K104" s="843"/>
      <c r="L104" s="843"/>
      <c r="M104" s="844"/>
      <c r="N104" s="845"/>
    </row>
    <row r="105" spans="2:14">
      <c r="B105" s="720"/>
      <c r="C105" s="857"/>
      <c r="D105" s="857"/>
      <c r="E105" s="857"/>
      <c r="F105" s="857"/>
      <c r="G105" s="857"/>
      <c r="H105" s="857"/>
      <c r="I105" s="843"/>
      <c r="J105" s="843"/>
      <c r="K105" s="843"/>
      <c r="L105" s="843"/>
      <c r="M105" s="844"/>
      <c r="N105" s="845"/>
    </row>
    <row r="106" spans="2:14">
      <c r="B106" s="720"/>
      <c r="C106" s="857"/>
      <c r="D106" s="857"/>
      <c r="E106" s="857"/>
      <c r="F106" s="857"/>
      <c r="G106" s="857"/>
      <c r="H106" s="857"/>
      <c r="I106" s="843"/>
      <c r="J106" s="843"/>
      <c r="K106" s="843"/>
      <c r="L106" s="843"/>
      <c r="M106" s="844"/>
      <c r="N106" s="845"/>
    </row>
    <row r="107" spans="2:14">
      <c r="B107" s="720"/>
      <c r="C107" s="857"/>
      <c r="D107" s="857"/>
      <c r="E107" s="857"/>
      <c r="F107" s="857"/>
      <c r="G107" s="857"/>
      <c r="H107" s="857"/>
      <c r="I107" s="843"/>
      <c r="J107" s="843"/>
      <c r="K107" s="843"/>
      <c r="L107" s="843"/>
      <c r="M107" s="844"/>
      <c r="N107" s="845"/>
    </row>
    <row r="108" spans="2:14">
      <c r="B108" s="720"/>
      <c r="C108" s="857"/>
      <c r="D108" s="857"/>
      <c r="E108" s="857"/>
      <c r="F108" s="857"/>
      <c r="G108" s="857"/>
      <c r="H108" s="857"/>
      <c r="I108" s="843"/>
      <c r="J108" s="843"/>
      <c r="K108" s="843"/>
      <c r="L108" s="843"/>
      <c r="M108" s="844"/>
      <c r="N108" s="845"/>
    </row>
    <row r="109" spans="2:14">
      <c r="B109" s="720"/>
      <c r="C109" s="857"/>
      <c r="D109" s="857"/>
      <c r="E109" s="857"/>
      <c r="F109" s="857"/>
      <c r="G109" s="857"/>
      <c r="H109" s="857"/>
      <c r="I109" s="843"/>
      <c r="J109" s="843"/>
      <c r="K109" s="843"/>
      <c r="L109" s="843"/>
      <c r="M109" s="844"/>
      <c r="N109" s="845"/>
    </row>
    <row r="110" spans="2:14">
      <c r="B110" s="720"/>
      <c r="C110" s="857"/>
      <c r="D110" s="857"/>
      <c r="E110" s="857"/>
      <c r="F110" s="857"/>
      <c r="G110" s="857"/>
      <c r="H110" s="857"/>
      <c r="I110" s="843"/>
      <c r="J110" s="843"/>
      <c r="K110" s="843"/>
      <c r="L110" s="843"/>
      <c r="M110" s="844"/>
      <c r="N110" s="845"/>
    </row>
    <row r="111" spans="2:14">
      <c r="B111" s="720"/>
      <c r="C111" s="857"/>
      <c r="D111" s="857"/>
      <c r="E111" s="857"/>
      <c r="F111" s="857"/>
      <c r="G111" s="857"/>
      <c r="H111" s="857"/>
      <c r="I111" s="843"/>
      <c r="J111" s="843"/>
      <c r="K111" s="843"/>
      <c r="L111" s="843"/>
      <c r="M111" s="844"/>
      <c r="N111" s="845"/>
    </row>
    <row r="112" spans="2:14">
      <c r="B112" s="720"/>
      <c r="C112" s="857"/>
      <c r="D112" s="857"/>
      <c r="E112" s="857"/>
      <c r="F112" s="857"/>
      <c r="G112" s="857"/>
      <c r="H112" s="857"/>
      <c r="I112" s="843"/>
      <c r="J112" s="843"/>
      <c r="K112" s="843"/>
      <c r="L112" s="843"/>
      <c r="M112" s="844"/>
      <c r="N112" s="845"/>
    </row>
    <row r="113" spans="2:14">
      <c r="B113" s="720"/>
      <c r="C113" s="857"/>
      <c r="D113" s="857"/>
      <c r="E113" s="857"/>
      <c r="F113" s="857"/>
      <c r="G113" s="857"/>
      <c r="H113" s="857"/>
      <c r="I113" s="843"/>
      <c r="J113" s="843"/>
      <c r="K113" s="843"/>
      <c r="L113" s="843"/>
      <c r="M113" s="844"/>
      <c r="N113" s="845"/>
    </row>
    <row r="114" spans="2:14">
      <c r="B114" s="720"/>
      <c r="C114" s="857"/>
      <c r="D114" s="857"/>
      <c r="E114" s="857"/>
      <c r="F114" s="857"/>
      <c r="G114" s="857"/>
      <c r="H114" s="857"/>
      <c r="I114" s="843"/>
      <c r="J114" s="843"/>
      <c r="K114" s="843"/>
      <c r="L114" s="843"/>
      <c r="M114" s="844"/>
      <c r="N114" s="845"/>
    </row>
    <row r="115" spans="2:14">
      <c r="B115" s="720"/>
      <c r="C115" s="857"/>
      <c r="D115" s="857"/>
      <c r="E115" s="857"/>
      <c r="F115" s="857"/>
      <c r="G115" s="857"/>
      <c r="H115" s="857"/>
      <c r="I115" s="843"/>
      <c r="J115" s="843"/>
      <c r="K115" s="843"/>
      <c r="L115" s="843"/>
      <c r="M115" s="844"/>
      <c r="N115" s="845"/>
    </row>
    <row r="116" spans="2:14">
      <c r="B116" s="720"/>
      <c r="C116" s="857"/>
      <c r="D116" s="857"/>
      <c r="E116" s="857"/>
      <c r="F116" s="857"/>
      <c r="G116" s="857"/>
      <c r="H116" s="857"/>
      <c r="I116" s="843"/>
      <c r="J116" s="843"/>
      <c r="K116" s="843"/>
      <c r="L116" s="843"/>
      <c r="M116" s="844"/>
      <c r="N116" s="845"/>
    </row>
    <row r="117" spans="2:14">
      <c r="B117" s="720"/>
      <c r="C117" s="857"/>
      <c r="D117" s="857"/>
      <c r="E117" s="857"/>
      <c r="F117" s="857"/>
      <c r="G117" s="857"/>
      <c r="H117" s="857"/>
      <c r="I117" s="843"/>
      <c r="J117" s="843"/>
      <c r="K117" s="843"/>
      <c r="L117" s="843"/>
      <c r="M117" s="844"/>
      <c r="N117" s="845"/>
    </row>
    <row r="118" spans="2:14">
      <c r="B118" s="720"/>
      <c r="C118" s="857"/>
      <c r="D118" s="857"/>
      <c r="E118" s="857"/>
      <c r="F118" s="857"/>
      <c r="G118" s="857"/>
      <c r="H118" s="857"/>
      <c r="I118" s="843"/>
      <c r="J118" s="843"/>
      <c r="K118" s="843"/>
      <c r="L118" s="843"/>
      <c r="M118" s="844"/>
      <c r="N118" s="845"/>
    </row>
    <row r="119" spans="2:14">
      <c r="B119" s="720"/>
      <c r="C119" s="857"/>
      <c r="D119" s="857"/>
      <c r="E119" s="857"/>
      <c r="F119" s="857"/>
      <c r="G119" s="857"/>
      <c r="H119" s="857"/>
      <c r="I119" s="843"/>
      <c r="J119" s="843"/>
      <c r="K119" s="843"/>
      <c r="L119" s="843"/>
      <c r="M119" s="844"/>
      <c r="N119" s="845"/>
    </row>
    <row r="120" spans="2:14">
      <c r="B120" s="720"/>
      <c r="C120" s="857"/>
      <c r="D120" s="857"/>
      <c r="E120" s="857"/>
      <c r="F120" s="857"/>
      <c r="G120" s="857"/>
      <c r="H120" s="857"/>
      <c r="I120" s="843"/>
      <c r="J120" s="843"/>
      <c r="K120" s="843"/>
      <c r="L120" s="843"/>
      <c r="M120" s="844"/>
      <c r="N120" s="845"/>
    </row>
    <row r="121" spans="2:14">
      <c r="B121" s="720"/>
      <c r="C121" s="857"/>
      <c r="D121" s="857"/>
      <c r="E121" s="857"/>
      <c r="F121" s="857"/>
      <c r="G121" s="857"/>
      <c r="H121" s="857"/>
      <c r="I121" s="843"/>
      <c r="J121" s="843"/>
      <c r="K121" s="843"/>
      <c r="L121" s="843"/>
      <c r="M121" s="844"/>
      <c r="N121" s="845"/>
    </row>
    <row r="122" spans="2:14">
      <c r="B122" s="720"/>
      <c r="C122" s="857"/>
      <c r="D122" s="857"/>
      <c r="E122" s="857"/>
      <c r="F122" s="857"/>
      <c r="G122" s="857"/>
      <c r="H122" s="857"/>
      <c r="I122" s="843"/>
      <c r="J122" s="843"/>
      <c r="K122" s="843"/>
      <c r="L122" s="843"/>
      <c r="M122" s="844"/>
      <c r="N122" s="845"/>
    </row>
    <row r="123" spans="2:14">
      <c r="B123" s="720"/>
      <c r="C123" s="857"/>
      <c r="D123" s="857"/>
      <c r="E123" s="857"/>
      <c r="F123" s="857"/>
      <c r="G123" s="857"/>
      <c r="H123" s="857"/>
      <c r="I123" s="843"/>
      <c r="J123" s="843"/>
      <c r="K123" s="843"/>
      <c r="L123" s="843"/>
      <c r="M123" s="844"/>
      <c r="N123" s="845"/>
    </row>
    <row r="124" spans="2:14">
      <c r="B124" s="720"/>
      <c r="C124" s="857"/>
      <c r="D124" s="857"/>
      <c r="E124" s="857"/>
      <c r="F124" s="857"/>
      <c r="G124" s="857"/>
      <c r="H124" s="857"/>
      <c r="I124" s="843"/>
      <c r="J124" s="843"/>
      <c r="K124" s="843"/>
      <c r="L124" s="843"/>
      <c r="M124" s="844"/>
      <c r="N124" s="845"/>
    </row>
    <row r="125" spans="2:14">
      <c r="B125" s="720"/>
      <c r="C125" s="857"/>
      <c r="D125" s="857"/>
      <c r="E125" s="857"/>
      <c r="F125" s="857"/>
      <c r="G125" s="857"/>
      <c r="H125" s="857"/>
      <c r="I125" s="843"/>
      <c r="J125" s="843"/>
      <c r="K125" s="843"/>
      <c r="L125" s="843"/>
      <c r="M125" s="844"/>
      <c r="N125" s="845"/>
    </row>
    <row r="126" spans="2:14">
      <c r="B126" s="720"/>
      <c r="C126" s="857"/>
      <c r="D126" s="857"/>
      <c r="E126" s="857"/>
      <c r="F126" s="857"/>
      <c r="G126" s="857"/>
      <c r="H126" s="857"/>
      <c r="I126" s="843"/>
      <c r="J126" s="843"/>
      <c r="K126" s="843"/>
      <c r="L126" s="843"/>
      <c r="M126" s="844"/>
      <c r="N126" s="845"/>
    </row>
    <row r="127" spans="2:14">
      <c r="B127" s="720"/>
      <c r="C127" s="857"/>
      <c r="D127" s="857"/>
      <c r="E127" s="857"/>
      <c r="F127" s="857"/>
      <c r="G127" s="857"/>
      <c r="H127" s="857"/>
      <c r="I127" s="843"/>
      <c r="J127" s="843"/>
      <c r="K127" s="843"/>
      <c r="L127" s="843"/>
      <c r="M127" s="844"/>
      <c r="N127" s="845"/>
    </row>
    <row r="128" spans="2:14">
      <c r="B128" s="720"/>
      <c r="C128" s="857"/>
      <c r="D128" s="857"/>
      <c r="E128" s="857"/>
      <c r="F128" s="857"/>
      <c r="G128" s="857"/>
      <c r="H128" s="857"/>
      <c r="I128" s="843"/>
      <c r="J128" s="843"/>
      <c r="K128" s="843"/>
      <c r="L128" s="843"/>
      <c r="M128" s="844"/>
      <c r="N128" s="845"/>
    </row>
    <row r="129" spans="2:14">
      <c r="B129" s="720"/>
      <c r="C129" s="857"/>
      <c r="D129" s="857"/>
      <c r="E129" s="857"/>
      <c r="F129" s="857"/>
      <c r="G129" s="857"/>
      <c r="H129" s="857"/>
      <c r="I129" s="843"/>
      <c r="J129" s="843"/>
      <c r="K129" s="843"/>
      <c r="L129" s="843"/>
      <c r="M129" s="844"/>
      <c r="N129" s="845"/>
    </row>
    <row r="130" spans="2:14">
      <c r="B130" s="720"/>
      <c r="C130" s="857"/>
      <c r="D130" s="857"/>
      <c r="E130" s="857"/>
      <c r="F130" s="857"/>
      <c r="G130" s="857"/>
      <c r="H130" s="857"/>
      <c r="I130" s="843"/>
      <c r="J130" s="843"/>
      <c r="K130" s="843"/>
      <c r="L130" s="843"/>
      <c r="M130" s="844"/>
      <c r="N130" s="845"/>
    </row>
    <row r="131" spans="2:14">
      <c r="B131" s="720"/>
      <c r="C131" s="857"/>
      <c r="D131" s="857"/>
      <c r="E131" s="857"/>
      <c r="F131" s="857"/>
      <c r="G131" s="857"/>
      <c r="H131" s="857"/>
      <c r="I131" s="843"/>
      <c r="J131" s="843"/>
      <c r="K131" s="843"/>
      <c r="L131" s="843"/>
      <c r="M131" s="844"/>
      <c r="N131" s="845"/>
    </row>
    <row r="132" spans="2:14">
      <c r="B132" s="720"/>
      <c r="C132" s="857"/>
      <c r="D132" s="857"/>
      <c r="E132" s="857"/>
      <c r="F132" s="857"/>
      <c r="G132" s="857"/>
      <c r="H132" s="857"/>
      <c r="I132" s="843"/>
      <c r="J132" s="843"/>
      <c r="K132" s="843"/>
      <c r="L132" s="843"/>
      <c r="M132" s="844"/>
      <c r="N132" s="845"/>
    </row>
    <row r="133" spans="2:14">
      <c r="B133" s="720"/>
      <c r="C133" s="857"/>
      <c r="D133" s="857"/>
      <c r="E133" s="857"/>
      <c r="F133" s="857"/>
      <c r="G133" s="857"/>
      <c r="H133" s="857"/>
      <c r="I133" s="843"/>
      <c r="J133" s="843"/>
      <c r="K133" s="843"/>
      <c r="L133" s="843"/>
      <c r="M133" s="844"/>
      <c r="N133" s="845"/>
    </row>
    <row r="134" spans="2:14">
      <c r="B134" s="720"/>
      <c r="C134" s="857"/>
      <c r="D134" s="857"/>
      <c r="E134" s="857"/>
      <c r="F134" s="857"/>
      <c r="G134" s="857"/>
      <c r="H134" s="857"/>
      <c r="I134" s="843"/>
      <c r="J134" s="843"/>
      <c r="K134" s="843"/>
      <c r="L134" s="843"/>
      <c r="M134" s="844"/>
      <c r="N134" s="845"/>
    </row>
    <row r="135" spans="2:14">
      <c r="B135" s="720"/>
      <c r="C135" s="857"/>
      <c r="D135" s="857"/>
      <c r="E135" s="857"/>
      <c r="F135" s="857"/>
      <c r="G135" s="857"/>
      <c r="H135" s="857"/>
      <c r="I135" s="843"/>
      <c r="J135" s="843"/>
      <c r="K135" s="843"/>
      <c r="L135" s="843"/>
      <c r="M135" s="844"/>
      <c r="N135" s="845"/>
    </row>
    <row r="136" spans="2:14">
      <c r="B136" s="720"/>
      <c r="C136" s="857"/>
      <c r="D136" s="857"/>
      <c r="E136" s="857"/>
      <c r="F136" s="857"/>
      <c r="G136" s="857"/>
      <c r="H136" s="857"/>
      <c r="I136" s="843"/>
      <c r="J136" s="843"/>
      <c r="K136" s="843"/>
      <c r="L136" s="843"/>
      <c r="M136" s="844"/>
      <c r="N136" s="845"/>
    </row>
    <row r="137" spans="2:14">
      <c r="B137" s="720"/>
      <c r="C137" s="857"/>
      <c r="D137" s="857"/>
      <c r="E137" s="857"/>
      <c r="F137" s="857"/>
      <c r="G137" s="857"/>
      <c r="H137" s="857"/>
      <c r="I137" s="843"/>
      <c r="J137" s="843"/>
      <c r="K137" s="843"/>
      <c r="L137" s="843"/>
      <c r="M137" s="844"/>
      <c r="N137" s="845"/>
    </row>
    <row r="138" spans="2:14">
      <c r="B138" s="720"/>
      <c r="C138" s="857"/>
      <c r="D138" s="857"/>
      <c r="E138" s="857"/>
      <c r="F138" s="857"/>
      <c r="G138" s="857"/>
      <c r="H138" s="857"/>
      <c r="I138" s="843"/>
      <c r="J138" s="843"/>
      <c r="K138" s="843"/>
      <c r="L138" s="843"/>
      <c r="M138" s="844"/>
      <c r="N138" s="845"/>
    </row>
    <row r="139" spans="2:14">
      <c r="B139" s="720"/>
      <c r="C139" s="857"/>
      <c r="D139" s="857"/>
      <c r="E139" s="857"/>
      <c r="F139" s="857"/>
      <c r="G139" s="857"/>
      <c r="H139" s="857"/>
      <c r="I139" s="843"/>
      <c r="J139" s="843"/>
      <c r="K139" s="843"/>
      <c r="L139" s="843"/>
      <c r="M139" s="844"/>
      <c r="N139" s="845"/>
    </row>
    <row r="140" spans="2:14">
      <c r="B140" s="720"/>
      <c r="C140" s="857"/>
      <c r="D140" s="857"/>
      <c r="E140" s="857"/>
      <c r="F140" s="857"/>
      <c r="G140" s="857"/>
      <c r="H140" s="857"/>
      <c r="I140" s="843"/>
      <c r="J140" s="843"/>
      <c r="K140" s="843"/>
      <c r="L140" s="843"/>
      <c r="M140" s="844"/>
      <c r="N140" s="845"/>
    </row>
    <row r="141" spans="2:14">
      <c r="B141" s="720"/>
      <c r="C141" s="857"/>
      <c r="D141" s="857"/>
      <c r="E141" s="857"/>
      <c r="F141" s="857"/>
      <c r="G141" s="857"/>
      <c r="H141" s="857"/>
      <c r="I141" s="843"/>
      <c r="J141" s="843"/>
      <c r="K141" s="843"/>
      <c r="L141" s="843"/>
      <c r="M141" s="844"/>
      <c r="N141" s="845"/>
    </row>
    <row r="142" spans="2:14">
      <c r="B142" s="720"/>
      <c r="C142" s="857"/>
      <c r="D142" s="857"/>
      <c r="E142" s="857"/>
      <c r="F142" s="857"/>
      <c r="G142" s="857"/>
      <c r="H142" s="857"/>
      <c r="I142" s="843"/>
      <c r="J142" s="843"/>
      <c r="K142" s="843"/>
      <c r="L142" s="843"/>
      <c r="M142" s="844"/>
      <c r="N142" s="845"/>
    </row>
    <row r="143" spans="2:14">
      <c r="B143" s="720"/>
      <c r="C143" s="857"/>
      <c r="D143" s="857"/>
      <c r="E143" s="857"/>
      <c r="F143" s="857"/>
      <c r="G143" s="857"/>
      <c r="H143" s="857"/>
      <c r="I143" s="843"/>
      <c r="J143" s="843"/>
      <c r="K143" s="843"/>
      <c r="L143" s="843"/>
      <c r="M143" s="844"/>
      <c r="N143" s="845"/>
    </row>
    <row r="144" spans="2:14">
      <c r="B144" s="720"/>
      <c r="C144" s="857"/>
      <c r="D144" s="857"/>
      <c r="E144" s="857"/>
      <c r="F144" s="857"/>
      <c r="G144" s="857"/>
      <c r="H144" s="857"/>
      <c r="I144" s="843"/>
      <c r="J144" s="843"/>
      <c r="K144" s="843"/>
      <c r="L144" s="843"/>
      <c r="M144" s="844"/>
      <c r="N144" s="845"/>
    </row>
    <row r="145" spans="2:17">
      <c r="B145" s="720"/>
      <c r="C145" s="857"/>
      <c r="D145" s="857"/>
      <c r="E145" s="857"/>
      <c r="F145" s="857"/>
      <c r="G145" s="857"/>
      <c r="H145" s="857"/>
      <c r="I145" s="843"/>
      <c r="J145" s="843"/>
      <c r="K145" s="843"/>
      <c r="L145" s="843"/>
      <c r="M145" s="844"/>
      <c r="N145" s="845"/>
    </row>
    <row r="146" spans="2:17">
      <c r="B146" s="720"/>
      <c r="C146" s="857"/>
      <c r="D146" s="857"/>
      <c r="E146" s="857"/>
      <c r="F146" s="857"/>
      <c r="G146" s="857"/>
      <c r="H146" s="857"/>
      <c r="I146" s="843"/>
      <c r="J146" s="843"/>
      <c r="K146" s="843"/>
      <c r="L146" s="843"/>
      <c r="M146" s="844"/>
      <c r="N146" s="845"/>
    </row>
    <row r="147" spans="2:17">
      <c r="B147" s="720"/>
      <c r="C147" s="857"/>
      <c r="D147" s="857"/>
      <c r="E147" s="857"/>
      <c r="F147" s="857"/>
      <c r="G147" s="857"/>
      <c r="H147" s="857"/>
      <c r="I147" s="843"/>
      <c r="J147" s="843"/>
      <c r="K147" s="843"/>
      <c r="L147" s="843"/>
      <c r="M147" s="844"/>
      <c r="N147" s="845"/>
    </row>
    <row r="148" spans="2:17">
      <c r="B148" s="720"/>
      <c r="C148" s="857"/>
      <c r="D148" s="857"/>
      <c r="E148" s="857"/>
      <c r="F148" s="857"/>
      <c r="G148" s="857"/>
      <c r="H148" s="857"/>
      <c r="I148" s="843"/>
      <c r="J148" s="843"/>
      <c r="K148" s="843"/>
      <c r="L148" s="843"/>
      <c r="M148" s="844"/>
      <c r="N148" s="845"/>
    </row>
    <row r="149" spans="2:17">
      <c r="B149" s="720"/>
      <c r="C149" s="857"/>
      <c r="D149" s="857"/>
      <c r="E149" s="857"/>
      <c r="F149" s="857"/>
      <c r="G149" s="857"/>
      <c r="H149" s="857"/>
      <c r="I149" s="843"/>
      <c r="J149" s="843"/>
      <c r="K149" s="843"/>
      <c r="L149" s="843"/>
      <c r="M149" s="844"/>
      <c r="N149" s="845"/>
    </row>
    <row r="150" spans="2:17">
      <c r="B150" s="720"/>
      <c r="C150" s="857"/>
      <c r="D150" s="857"/>
      <c r="E150" s="857"/>
      <c r="F150" s="857"/>
      <c r="G150" s="857"/>
      <c r="H150" s="857"/>
      <c r="I150" s="843"/>
      <c r="J150" s="843"/>
      <c r="K150" s="843"/>
      <c r="L150" s="843"/>
      <c r="M150" s="844"/>
      <c r="N150" s="845"/>
    </row>
    <row r="151" spans="2:17">
      <c r="B151" s="721"/>
      <c r="C151" s="857"/>
      <c r="D151" s="857"/>
      <c r="E151" s="857"/>
      <c r="F151" s="857"/>
      <c r="G151" s="857"/>
      <c r="H151" s="857"/>
      <c r="I151" s="864"/>
      <c r="J151" s="864"/>
      <c r="K151" s="864"/>
      <c r="L151" s="864"/>
      <c r="M151" s="865"/>
      <c r="N151" s="866"/>
    </row>
    <row r="152" spans="2:17">
      <c r="C152" s="867"/>
      <c r="D152" s="867"/>
      <c r="E152" s="867"/>
      <c r="F152" s="867"/>
      <c r="G152" s="867"/>
      <c r="H152" s="867"/>
      <c r="I152" s="824"/>
      <c r="J152" s="824"/>
      <c r="K152" s="824"/>
      <c r="L152" s="824"/>
      <c r="M152" s="824"/>
      <c r="N152" s="824"/>
    </row>
    <row r="153" spans="2:17" ht="18.75">
      <c r="B153" s="1502" t="s">
        <v>63</v>
      </c>
      <c r="C153" s="1502"/>
      <c r="D153" s="1502"/>
      <c r="E153" s="1502"/>
      <c r="F153" s="1502"/>
      <c r="G153" s="1502"/>
      <c r="H153" s="1502"/>
      <c r="I153" s="1502"/>
      <c r="J153" s="1502"/>
      <c r="K153" s="1502"/>
      <c r="L153" s="1502"/>
      <c r="M153" s="1502"/>
      <c r="N153" s="1502"/>
      <c r="P153" s="700"/>
      <c r="Q153" s="700"/>
    </row>
    <row r="154" spans="2:17" ht="18.75" customHeight="1">
      <c r="B154" s="700"/>
      <c r="C154" s="700"/>
      <c r="D154" s="700"/>
      <c r="E154" s="700"/>
      <c r="F154" s="700"/>
      <c r="G154" s="700"/>
      <c r="H154" s="700"/>
      <c r="I154" s="700"/>
      <c r="J154" s="700"/>
      <c r="K154" s="700"/>
      <c r="L154" s="700"/>
      <c r="M154" s="700"/>
      <c r="N154" s="700"/>
      <c r="P154" s="700"/>
      <c r="Q154" s="700"/>
    </row>
    <row r="155" spans="2:17">
      <c r="B155" s="709" t="s">
        <v>64</v>
      </c>
      <c r="C155" s="869"/>
      <c r="D155" s="817"/>
      <c r="E155" s="817"/>
      <c r="F155" s="817"/>
      <c r="G155" s="817"/>
      <c r="H155" s="817"/>
      <c r="I155" s="817"/>
      <c r="J155" s="817"/>
      <c r="K155" s="817"/>
      <c r="L155" s="817"/>
      <c r="M155" s="817"/>
      <c r="N155" s="818"/>
    </row>
    <row r="156" spans="2:17">
      <c r="B156" s="710" t="s">
        <v>65</v>
      </c>
      <c r="C156" s="868"/>
      <c r="D156" s="821"/>
      <c r="E156" s="821"/>
      <c r="F156" s="821"/>
      <c r="G156" s="821"/>
      <c r="H156" s="821"/>
      <c r="I156" s="821"/>
      <c r="J156" s="821"/>
      <c r="K156" s="821"/>
      <c r="L156" s="821"/>
      <c r="M156" s="821"/>
      <c r="N156" s="822"/>
    </row>
    <row r="157" spans="2:17">
      <c r="B157" s="711" t="s">
        <v>66</v>
      </c>
      <c r="C157" s="868"/>
      <c r="D157" s="821"/>
      <c r="E157" s="821"/>
      <c r="F157" s="821"/>
      <c r="G157" s="821"/>
      <c r="H157" s="821"/>
      <c r="I157" s="821"/>
      <c r="J157" s="821"/>
      <c r="K157" s="821"/>
      <c r="L157" s="821"/>
      <c r="M157" s="821"/>
      <c r="N157" s="822"/>
    </row>
    <row r="158" spans="2:17">
      <c r="B158" s="711" t="s">
        <v>67</v>
      </c>
      <c r="C158" s="868"/>
      <c r="D158" s="821"/>
      <c r="E158" s="821"/>
      <c r="F158" s="821"/>
      <c r="G158" s="821"/>
      <c r="H158" s="821"/>
      <c r="I158" s="821"/>
      <c r="J158" s="821"/>
      <c r="K158" s="821"/>
      <c r="L158" s="821"/>
      <c r="M158" s="821"/>
      <c r="N158" s="822"/>
    </row>
    <row r="159" spans="2:17">
      <c r="B159" s="712" t="s">
        <v>68</v>
      </c>
      <c r="C159" s="868"/>
      <c r="D159" s="821"/>
      <c r="E159" s="821"/>
      <c r="F159" s="821"/>
      <c r="G159" s="821"/>
      <c r="H159" s="821"/>
      <c r="I159" s="821"/>
      <c r="J159" s="821"/>
      <c r="K159" s="821"/>
      <c r="L159" s="821"/>
      <c r="M159" s="821"/>
      <c r="N159" s="822"/>
    </row>
    <row r="160" spans="2:17">
      <c r="B160" s="710" t="s">
        <v>69</v>
      </c>
      <c r="C160" s="868"/>
      <c r="D160" s="821"/>
      <c r="E160" s="821"/>
      <c r="F160" s="821"/>
      <c r="G160" s="821"/>
      <c r="H160" s="821"/>
      <c r="I160" s="821"/>
      <c r="J160" s="821"/>
      <c r="K160" s="821"/>
      <c r="L160" s="821"/>
      <c r="M160" s="821"/>
      <c r="N160" s="822"/>
    </row>
    <row r="161" spans="2:14">
      <c r="B161" s="713" t="s">
        <v>70</v>
      </c>
      <c r="C161" s="826"/>
      <c r="D161" s="826"/>
      <c r="E161" s="826"/>
      <c r="F161" s="826"/>
      <c r="G161" s="826"/>
      <c r="H161" s="826"/>
      <c r="I161" s="826"/>
      <c r="J161" s="826"/>
      <c r="K161" s="826"/>
      <c r="L161" s="826"/>
      <c r="M161" s="826"/>
      <c r="N161" s="827"/>
    </row>
    <row r="162" spans="2:14">
      <c r="C162" s="867"/>
      <c r="D162" s="867"/>
      <c r="E162" s="867"/>
      <c r="F162" s="867"/>
      <c r="G162" s="867"/>
      <c r="H162" s="867"/>
      <c r="I162" s="824"/>
      <c r="J162" s="824"/>
      <c r="K162" s="824"/>
      <c r="L162" s="824"/>
      <c r="M162" s="824"/>
      <c r="N162" s="824"/>
    </row>
    <row r="163" spans="2:14">
      <c r="C163" s="867"/>
      <c r="D163" s="867"/>
      <c r="E163" s="867"/>
      <c r="F163" s="867"/>
      <c r="G163" s="867"/>
      <c r="H163" s="867"/>
      <c r="I163" s="824"/>
      <c r="J163" s="824"/>
      <c r="K163" s="824"/>
      <c r="L163" s="824"/>
      <c r="M163" s="824"/>
      <c r="N163" s="824"/>
    </row>
    <row r="164" spans="2:14" hidden="1">
      <c r="C164" s="867"/>
      <c r="D164" s="867"/>
      <c r="E164" s="867"/>
      <c r="F164" s="867"/>
      <c r="G164" s="867"/>
      <c r="H164" s="867"/>
      <c r="I164" s="824"/>
      <c r="J164" s="824"/>
      <c r="K164" s="824"/>
      <c r="L164" s="824"/>
      <c r="M164" s="824"/>
      <c r="N164" s="824"/>
    </row>
    <row r="165" spans="2:14" hidden="1">
      <c r="C165" s="867"/>
      <c r="D165" s="867"/>
      <c r="E165" s="867"/>
      <c r="F165" s="867"/>
      <c r="G165" s="867"/>
      <c r="H165" s="867"/>
      <c r="I165" s="824"/>
      <c r="J165" s="824"/>
      <c r="K165" s="824"/>
      <c r="L165" s="824"/>
      <c r="M165" s="824"/>
      <c r="N165" s="824"/>
    </row>
    <row r="166" spans="2:14" hidden="1">
      <c r="C166" s="867"/>
      <c r="D166" s="867"/>
      <c r="E166" s="867"/>
      <c r="F166" s="867"/>
      <c r="G166" s="867"/>
      <c r="H166" s="867"/>
      <c r="I166" s="824"/>
      <c r="J166" s="824"/>
      <c r="K166" s="824"/>
      <c r="L166" s="824"/>
      <c r="M166" s="824"/>
      <c r="N166" s="824"/>
    </row>
    <row r="167" spans="2:14" hidden="1">
      <c r="C167" s="867"/>
      <c r="D167" s="867"/>
      <c r="E167" s="867"/>
      <c r="F167" s="867"/>
      <c r="G167" s="867"/>
      <c r="H167" s="867"/>
      <c r="I167" s="824"/>
      <c r="J167" s="824"/>
      <c r="K167" s="824"/>
      <c r="L167" s="824"/>
      <c r="M167" s="824"/>
      <c r="N167" s="824"/>
    </row>
    <row r="168" spans="2:14" hidden="1">
      <c r="C168" s="867"/>
      <c r="D168" s="867"/>
      <c r="E168" s="867"/>
      <c r="F168" s="867"/>
      <c r="G168" s="867"/>
      <c r="H168" s="867"/>
      <c r="I168" s="824"/>
      <c r="J168" s="824"/>
      <c r="K168" s="824"/>
      <c r="L168" s="824"/>
      <c r="M168" s="824"/>
      <c r="N168" s="824"/>
    </row>
    <row r="169" spans="2:14" hidden="1">
      <c r="C169" s="867"/>
      <c r="D169" s="867"/>
      <c r="E169" s="867"/>
      <c r="F169" s="867"/>
      <c r="G169" s="867"/>
      <c r="H169" s="867"/>
      <c r="I169" s="824"/>
      <c r="J169" s="824"/>
      <c r="K169" s="824"/>
      <c r="L169" s="824"/>
      <c r="M169" s="824"/>
      <c r="N169" s="824"/>
    </row>
    <row r="170" spans="2:14" hidden="1">
      <c r="C170" s="867"/>
      <c r="D170" s="867"/>
      <c r="E170" s="867"/>
      <c r="F170" s="867"/>
      <c r="G170" s="867"/>
      <c r="H170" s="867"/>
      <c r="I170" s="824"/>
      <c r="J170" s="824"/>
      <c r="K170" s="824"/>
      <c r="L170" s="824"/>
      <c r="M170" s="824"/>
      <c r="N170" s="824"/>
    </row>
    <row r="171" spans="2:14" hidden="1">
      <c r="C171" s="867"/>
      <c r="D171" s="867"/>
      <c r="E171" s="867"/>
      <c r="F171" s="867"/>
      <c r="G171" s="867"/>
      <c r="H171" s="867"/>
      <c r="I171" s="824"/>
      <c r="J171" s="824"/>
      <c r="K171" s="824"/>
      <c r="L171" s="824"/>
      <c r="M171" s="824"/>
      <c r="N171" s="824"/>
    </row>
    <row r="172" spans="2:14" hidden="1">
      <c r="C172" s="867"/>
      <c r="D172" s="867"/>
      <c r="E172" s="867"/>
      <c r="F172" s="867"/>
      <c r="G172" s="867"/>
      <c r="H172" s="867"/>
      <c r="I172" s="824"/>
      <c r="J172" s="824"/>
      <c r="K172" s="824"/>
      <c r="L172" s="824"/>
      <c r="M172" s="824"/>
      <c r="N172" s="824"/>
    </row>
    <row r="173" spans="2:14" hidden="1">
      <c r="C173" s="867"/>
      <c r="D173" s="867"/>
      <c r="E173" s="867"/>
      <c r="F173" s="867"/>
      <c r="G173" s="867"/>
      <c r="H173" s="867"/>
      <c r="I173" s="824"/>
      <c r="J173" s="824"/>
      <c r="K173" s="824"/>
      <c r="L173" s="824"/>
      <c r="M173" s="824"/>
      <c r="N173" s="824"/>
    </row>
    <row r="174" spans="2:14" hidden="1">
      <c r="C174" s="867"/>
      <c r="D174" s="867"/>
      <c r="E174" s="867"/>
      <c r="F174" s="867"/>
      <c r="G174" s="867"/>
      <c r="H174" s="867"/>
      <c r="I174" s="824"/>
      <c r="J174" s="824"/>
      <c r="K174" s="824"/>
      <c r="L174" s="824"/>
      <c r="M174" s="824"/>
      <c r="N174" s="824"/>
    </row>
    <row r="175" spans="2:14" hidden="1">
      <c r="C175" s="867"/>
      <c r="D175" s="867"/>
      <c r="E175" s="867"/>
      <c r="F175" s="867"/>
      <c r="G175" s="867"/>
      <c r="H175" s="867"/>
      <c r="I175" s="824"/>
      <c r="J175" s="824"/>
      <c r="K175" s="824"/>
      <c r="L175" s="824"/>
      <c r="M175" s="824"/>
      <c r="N175" s="824"/>
    </row>
    <row r="176" spans="2:14" hidden="1">
      <c r="C176" s="867"/>
      <c r="D176" s="867"/>
      <c r="E176" s="867"/>
      <c r="F176" s="867"/>
      <c r="G176" s="867"/>
      <c r="H176" s="867"/>
      <c r="I176" s="824"/>
      <c r="J176" s="824"/>
      <c r="K176" s="824"/>
      <c r="L176" s="824"/>
      <c r="M176" s="824"/>
      <c r="N176" s="824"/>
    </row>
    <row r="177" spans="3:14" hidden="1">
      <c r="C177" s="867"/>
      <c r="D177" s="867"/>
      <c r="E177" s="867"/>
      <c r="F177" s="867"/>
      <c r="G177" s="867"/>
      <c r="H177" s="867"/>
      <c r="I177" s="824"/>
      <c r="J177" s="824"/>
      <c r="K177" s="824"/>
      <c r="L177" s="824"/>
      <c r="M177" s="824"/>
      <c r="N177" s="824"/>
    </row>
    <row r="178" spans="3:14" hidden="1">
      <c r="C178" s="867"/>
      <c r="D178" s="867"/>
      <c r="E178" s="867"/>
      <c r="F178" s="867"/>
      <c r="G178" s="867"/>
      <c r="H178" s="867"/>
      <c r="I178" s="824"/>
      <c r="J178" s="824"/>
      <c r="K178" s="824"/>
      <c r="L178" s="824"/>
      <c r="M178" s="824"/>
      <c r="N178" s="824"/>
    </row>
    <row r="179" spans="3:14" hidden="1">
      <c r="C179" s="867"/>
      <c r="D179" s="867"/>
      <c r="E179" s="867"/>
      <c r="F179" s="867"/>
      <c r="G179" s="867"/>
      <c r="H179" s="867"/>
      <c r="I179" s="824"/>
      <c r="J179" s="824"/>
      <c r="K179" s="824"/>
      <c r="L179" s="824"/>
      <c r="M179" s="824"/>
      <c r="N179" s="824"/>
    </row>
    <row r="180" spans="3:14" hidden="1">
      <c r="C180" s="867"/>
      <c r="D180" s="867"/>
      <c r="E180" s="867"/>
      <c r="F180" s="867"/>
      <c r="G180" s="867"/>
      <c r="H180" s="867"/>
      <c r="I180" s="824"/>
      <c r="J180" s="824"/>
      <c r="K180" s="824"/>
      <c r="L180" s="824"/>
      <c r="M180" s="824"/>
      <c r="N180" s="824"/>
    </row>
    <row r="181" spans="3:14" hidden="1">
      <c r="C181" s="867"/>
      <c r="D181" s="867"/>
      <c r="E181" s="867"/>
      <c r="F181" s="867"/>
      <c r="G181" s="867"/>
      <c r="H181" s="867"/>
      <c r="I181" s="824"/>
      <c r="J181" s="824"/>
      <c r="K181" s="824"/>
      <c r="L181" s="824"/>
      <c r="M181" s="824"/>
      <c r="N181" s="824"/>
    </row>
    <row r="182" spans="3:14" hidden="1">
      <c r="C182" s="867"/>
      <c r="D182" s="867"/>
      <c r="E182" s="867"/>
      <c r="F182" s="867"/>
      <c r="G182" s="867"/>
      <c r="H182" s="867"/>
      <c r="I182" s="824"/>
      <c r="J182" s="824"/>
      <c r="K182" s="824"/>
      <c r="L182" s="824"/>
      <c r="M182" s="824"/>
      <c r="N182" s="824"/>
    </row>
    <row r="183" spans="3:14" hidden="1">
      <c r="C183" s="867"/>
      <c r="D183" s="867"/>
      <c r="E183" s="867"/>
      <c r="F183" s="867"/>
      <c r="G183" s="867"/>
      <c r="H183" s="867"/>
      <c r="I183" s="824"/>
      <c r="J183" s="824"/>
      <c r="K183" s="824"/>
      <c r="L183" s="824"/>
      <c r="M183" s="824"/>
      <c r="N183" s="824"/>
    </row>
    <row r="184" spans="3:14" hidden="1">
      <c r="C184" s="867"/>
      <c r="D184" s="867"/>
      <c r="E184" s="867"/>
      <c r="F184" s="867"/>
      <c r="G184" s="867"/>
      <c r="H184" s="867"/>
      <c r="I184" s="824"/>
      <c r="J184" s="824"/>
      <c r="K184" s="824"/>
      <c r="L184" s="824"/>
      <c r="M184" s="824"/>
      <c r="N184" s="824"/>
    </row>
    <row r="185" spans="3:14" hidden="1">
      <c r="C185" s="867"/>
      <c r="D185" s="867"/>
      <c r="E185" s="867"/>
      <c r="F185" s="867"/>
      <c r="G185" s="867"/>
      <c r="H185" s="867"/>
      <c r="I185" s="824"/>
      <c r="J185" s="824"/>
      <c r="K185" s="824"/>
      <c r="L185" s="824"/>
      <c r="M185" s="824"/>
      <c r="N185" s="824"/>
    </row>
    <row r="186" spans="3:14" hidden="1">
      <c r="C186" s="867"/>
      <c r="D186" s="867"/>
      <c r="E186" s="867"/>
      <c r="F186" s="867"/>
      <c r="G186" s="867"/>
      <c r="H186" s="867"/>
      <c r="I186" s="824"/>
      <c r="J186" s="824"/>
      <c r="K186" s="824"/>
      <c r="L186" s="824"/>
      <c r="M186" s="824"/>
      <c r="N186" s="824"/>
    </row>
    <row r="187" spans="3:14" hidden="1">
      <c r="C187" s="867"/>
      <c r="D187" s="867"/>
      <c r="E187" s="867"/>
      <c r="F187" s="867"/>
      <c r="G187" s="867"/>
      <c r="H187" s="867"/>
      <c r="I187" s="824"/>
      <c r="J187" s="824"/>
      <c r="K187" s="824"/>
      <c r="L187" s="824"/>
      <c r="M187" s="824"/>
      <c r="N187" s="824"/>
    </row>
    <row r="188" spans="3:14" hidden="1">
      <c r="C188" s="867"/>
      <c r="D188" s="867"/>
      <c r="E188" s="867"/>
      <c r="F188" s="867"/>
      <c r="G188" s="867"/>
      <c r="H188" s="867"/>
      <c r="I188" s="824"/>
      <c r="J188" s="824"/>
      <c r="K188" s="824"/>
      <c r="L188" s="824"/>
      <c r="M188" s="824"/>
      <c r="N188" s="824"/>
    </row>
    <row r="189" spans="3:14" hidden="1">
      <c r="C189" s="867"/>
      <c r="D189" s="867"/>
      <c r="E189" s="867"/>
      <c r="F189" s="867"/>
      <c r="G189" s="867"/>
      <c r="H189" s="867"/>
      <c r="I189" s="824"/>
      <c r="J189" s="824"/>
      <c r="K189" s="824"/>
      <c r="L189" s="824"/>
      <c r="M189" s="824"/>
      <c r="N189" s="824"/>
    </row>
    <row r="190" spans="3:14" hidden="1">
      <c r="C190" s="867"/>
      <c r="D190" s="867"/>
      <c r="E190" s="867"/>
      <c r="F190" s="867"/>
      <c r="G190" s="867"/>
      <c r="H190" s="867"/>
      <c r="I190" s="824"/>
      <c r="J190" s="824"/>
      <c r="K190" s="824"/>
      <c r="L190" s="824"/>
      <c r="M190" s="824"/>
      <c r="N190" s="824"/>
    </row>
    <row r="191" spans="3:14" hidden="1">
      <c r="C191" s="867"/>
      <c r="D191" s="867"/>
      <c r="E191" s="867"/>
      <c r="F191" s="867"/>
      <c r="G191" s="867"/>
      <c r="H191" s="867"/>
      <c r="I191" s="824"/>
      <c r="J191" s="824"/>
      <c r="K191" s="824"/>
      <c r="L191" s="824"/>
      <c r="M191" s="824"/>
      <c r="N191" s="824"/>
    </row>
    <row r="192" spans="3:14" hidden="1">
      <c r="C192" s="867"/>
      <c r="D192" s="867"/>
      <c r="E192" s="867"/>
      <c r="F192" s="867"/>
      <c r="G192" s="867"/>
      <c r="H192" s="867"/>
      <c r="I192" s="824"/>
      <c r="J192" s="824"/>
      <c r="K192" s="824"/>
      <c r="L192" s="824"/>
      <c r="M192" s="824"/>
      <c r="N192" s="824"/>
    </row>
    <row r="193" spans="3:14" hidden="1">
      <c r="C193" s="867"/>
      <c r="D193" s="867"/>
      <c r="E193" s="867"/>
      <c r="F193" s="867"/>
      <c r="G193" s="867"/>
      <c r="H193" s="867"/>
      <c r="I193" s="824"/>
      <c r="J193" s="824"/>
      <c r="K193" s="824"/>
      <c r="L193" s="824"/>
      <c r="M193" s="824"/>
      <c r="N193" s="824"/>
    </row>
    <row r="194" spans="3:14" hidden="1">
      <c r="C194" s="867"/>
      <c r="D194" s="867"/>
      <c r="E194" s="867"/>
      <c r="F194" s="867"/>
      <c r="G194" s="867"/>
      <c r="H194" s="867"/>
      <c r="I194" s="824"/>
      <c r="J194" s="824"/>
      <c r="K194" s="824"/>
      <c r="L194" s="824"/>
      <c r="M194" s="824"/>
      <c r="N194" s="824"/>
    </row>
    <row r="195" spans="3:14" hidden="1">
      <c r="C195" s="867"/>
      <c r="D195" s="867"/>
      <c r="E195" s="867"/>
      <c r="F195" s="867"/>
      <c r="G195" s="867"/>
      <c r="H195" s="867"/>
      <c r="I195" s="824"/>
      <c r="J195" s="824"/>
      <c r="K195" s="824"/>
      <c r="L195" s="824"/>
      <c r="M195" s="824"/>
      <c r="N195" s="824"/>
    </row>
    <row r="196" spans="3:14" hidden="1">
      <c r="C196" s="867"/>
      <c r="D196" s="867"/>
      <c r="E196" s="867"/>
      <c r="F196" s="867"/>
      <c r="G196" s="867"/>
      <c r="H196" s="867"/>
      <c r="I196" s="824"/>
      <c r="J196" s="824"/>
      <c r="K196" s="824"/>
      <c r="L196" s="824"/>
      <c r="M196" s="824"/>
      <c r="N196" s="824"/>
    </row>
    <row r="197" spans="3:14" hidden="1">
      <c r="C197" s="867"/>
      <c r="D197" s="867"/>
      <c r="E197" s="867"/>
      <c r="F197" s="867"/>
      <c r="G197" s="867"/>
      <c r="H197" s="867"/>
      <c r="I197" s="824"/>
      <c r="J197" s="824"/>
      <c r="K197" s="824"/>
      <c r="L197" s="824"/>
      <c r="M197" s="824"/>
      <c r="N197" s="824"/>
    </row>
    <row r="198" spans="3:14" hidden="1">
      <c r="C198" s="867"/>
      <c r="D198" s="867"/>
      <c r="E198" s="867"/>
      <c r="F198" s="867"/>
      <c r="G198" s="867"/>
      <c r="H198" s="867"/>
      <c r="I198" s="824"/>
      <c r="J198" s="824"/>
      <c r="K198" s="824"/>
      <c r="L198" s="824"/>
      <c r="M198" s="824"/>
      <c r="N198" s="824"/>
    </row>
    <row r="199" spans="3:14" hidden="1">
      <c r="C199" s="867"/>
      <c r="D199" s="867"/>
      <c r="E199" s="867"/>
      <c r="F199" s="867"/>
      <c r="G199" s="867"/>
      <c r="H199" s="867"/>
      <c r="I199" s="824"/>
      <c r="J199" s="824"/>
      <c r="K199" s="824"/>
      <c r="L199" s="824"/>
      <c r="M199" s="824"/>
      <c r="N199" s="824"/>
    </row>
    <row r="200" spans="3:14" hidden="1">
      <c r="C200" s="867"/>
      <c r="D200" s="867"/>
      <c r="E200" s="867"/>
      <c r="F200" s="867"/>
      <c r="G200" s="867"/>
      <c r="H200" s="867"/>
      <c r="I200" s="824"/>
      <c r="J200" s="824"/>
      <c r="K200" s="824"/>
      <c r="L200" s="824"/>
      <c r="M200" s="824"/>
      <c r="N200" s="824"/>
    </row>
    <row r="201" spans="3:14" hidden="1">
      <c r="C201" s="867"/>
      <c r="D201" s="867"/>
      <c r="E201" s="867"/>
      <c r="F201" s="867"/>
      <c r="G201" s="867"/>
      <c r="H201" s="867"/>
      <c r="I201" s="824"/>
      <c r="J201" s="824"/>
      <c r="K201" s="824"/>
      <c r="L201" s="824"/>
      <c r="M201" s="824"/>
      <c r="N201" s="824"/>
    </row>
    <row r="202" spans="3:14" hidden="1">
      <c r="C202" s="867"/>
      <c r="D202" s="867"/>
      <c r="E202" s="867"/>
      <c r="F202" s="867"/>
      <c r="G202" s="867"/>
      <c r="H202" s="867"/>
      <c r="I202" s="824"/>
      <c r="J202" s="824"/>
      <c r="K202" s="824"/>
      <c r="L202" s="824"/>
      <c r="M202" s="824"/>
      <c r="N202" s="824"/>
    </row>
    <row r="203" spans="3:14" hidden="1">
      <c r="C203" s="867"/>
      <c r="D203" s="867"/>
      <c r="E203" s="867"/>
      <c r="F203" s="867"/>
      <c r="G203" s="867"/>
      <c r="H203" s="867"/>
      <c r="I203" s="824"/>
      <c r="J203" s="824"/>
      <c r="K203" s="824"/>
      <c r="L203" s="824"/>
      <c r="M203" s="824"/>
      <c r="N203" s="824"/>
    </row>
    <row r="204" spans="3:14" hidden="1">
      <c r="C204" s="867"/>
      <c r="D204" s="867"/>
      <c r="E204" s="867"/>
      <c r="F204" s="867"/>
      <c r="G204" s="867"/>
      <c r="H204" s="867"/>
      <c r="I204" s="824"/>
      <c r="J204" s="824"/>
      <c r="K204" s="824"/>
      <c r="L204" s="824"/>
      <c r="M204" s="824"/>
      <c r="N204" s="824"/>
    </row>
    <row r="205" spans="3:14" hidden="1">
      <c r="C205" s="867"/>
      <c r="D205" s="867"/>
      <c r="E205" s="867"/>
      <c r="F205" s="867"/>
      <c r="G205" s="867"/>
      <c r="H205" s="867"/>
      <c r="I205" s="824"/>
      <c r="J205" s="824"/>
      <c r="K205" s="824"/>
      <c r="L205" s="824"/>
      <c r="M205" s="824"/>
      <c r="N205" s="824"/>
    </row>
    <row r="206" spans="3:14" hidden="1">
      <c r="C206" s="867"/>
      <c r="D206" s="867"/>
      <c r="E206" s="867"/>
      <c r="F206" s="867"/>
      <c r="G206" s="867"/>
      <c r="H206" s="867"/>
      <c r="I206" s="824"/>
      <c r="J206" s="824"/>
      <c r="K206" s="824"/>
      <c r="L206" s="824"/>
      <c r="M206" s="824"/>
      <c r="N206" s="824"/>
    </row>
    <row r="207" spans="3:14" hidden="1">
      <c r="C207" s="867"/>
      <c r="D207" s="867"/>
      <c r="E207" s="867"/>
      <c r="F207" s="867"/>
      <c r="G207" s="867"/>
      <c r="H207" s="867"/>
      <c r="I207" s="824"/>
      <c r="J207" s="824"/>
      <c r="K207" s="824"/>
      <c r="L207" s="824"/>
      <c r="M207" s="824"/>
      <c r="N207" s="824"/>
    </row>
    <row r="208" spans="3:14" hidden="1">
      <c r="C208" s="867"/>
      <c r="D208" s="867"/>
      <c r="E208" s="867"/>
      <c r="F208" s="867"/>
      <c r="G208" s="867"/>
      <c r="H208" s="867"/>
      <c r="I208" s="824"/>
      <c r="J208" s="824"/>
      <c r="K208" s="824"/>
      <c r="L208" s="824"/>
      <c r="M208" s="824"/>
      <c r="N208" s="824"/>
    </row>
    <row r="209" spans="3:14" hidden="1">
      <c r="C209" s="867"/>
      <c r="D209" s="867"/>
      <c r="E209" s="867"/>
      <c r="F209" s="867"/>
      <c r="G209" s="867"/>
      <c r="H209" s="867"/>
      <c r="I209" s="824"/>
      <c r="J209" s="824"/>
      <c r="K209" s="824"/>
      <c r="L209" s="824"/>
      <c r="M209" s="824"/>
      <c r="N209" s="824"/>
    </row>
    <row r="210" spans="3:14" hidden="1">
      <c r="C210" s="867"/>
      <c r="D210" s="867"/>
      <c r="E210" s="867"/>
      <c r="F210" s="867"/>
      <c r="G210" s="867"/>
      <c r="H210" s="867"/>
      <c r="I210" s="824"/>
      <c r="J210" s="824"/>
      <c r="K210" s="824"/>
      <c r="L210" s="824"/>
      <c r="M210" s="824"/>
      <c r="N210" s="824"/>
    </row>
    <row r="211" spans="3:14" hidden="1">
      <c r="C211" s="867"/>
      <c r="D211" s="867"/>
      <c r="E211" s="867"/>
      <c r="F211" s="867"/>
      <c r="G211" s="867"/>
      <c r="H211" s="867"/>
      <c r="I211" s="824"/>
      <c r="J211" s="824"/>
      <c r="K211" s="824"/>
      <c r="L211" s="824"/>
      <c r="M211" s="824"/>
      <c r="N211" s="824"/>
    </row>
    <row r="212" spans="3:14" hidden="1">
      <c r="C212" s="867"/>
      <c r="D212" s="867"/>
      <c r="E212" s="867"/>
      <c r="F212" s="867"/>
      <c r="G212" s="867"/>
      <c r="H212" s="867"/>
      <c r="I212" s="824"/>
      <c r="J212" s="824"/>
      <c r="K212" s="824"/>
      <c r="L212" s="824"/>
      <c r="M212" s="824"/>
      <c r="N212" s="824"/>
    </row>
    <row r="213" spans="3:14" hidden="1">
      <c r="C213" s="867"/>
      <c r="D213" s="867"/>
      <c r="E213" s="867"/>
      <c r="F213" s="867"/>
      <c r="G213" s="867"/>
      <c r="H213" s="867"/>
      <c r="I213" s="824"/>
      <c r="J213" s="824"/>
      <c r="K213" s="824"/>
      <c r="L213" s="824"/>
      <c r="M213" s="824"/>
      <c r="N213" s="824"/>
    </row>
    <row r="214" spans="3:14" hidden="1">
      <c r="C214" s="867"/>
      <c r="D214" s="867"/>
      <c r="E214" s="867"/>
      <c r="F214" s="867"/>
      <c r="G214" s="867"/>
      <c r="H214" s="867"/>
      <c r="I214" s="824"/>
      <c r="J214" s="824"/>
      <c r="K214" s="824"/>
      <c r="L214" s="824"/>
      <c r="M214" s="824"/>
      <c r="N214" s="824"/>
    </row>
    <row r="215" spans="3:14" hidden="1">
      <c r="C215" s="867"/>
      <c r="D215" s="867"/>
      <c r="E215" s="867"/>
      <c r="F215" s="867"/>
      <c r="G215" s="867"/>
      <c r="H215" s="867"/>
      <c r="I215" s="824"/>
      <c r="J215" s="824"/>
      <c r="K215" s="824"/>
      <c r="L215" s="824"/>
      <c r="M215" s="824"/>
      <c r="N215" s="824"/>
    </row>
    <row r="216" spans="3:14" hidden="1">
      <c r="C216" s="867"/>
      <c r="D216" s="867"/>
      <c r="E216" s="867"/>
      <c r="F216" s="867"/>
      <c r="G216" s="867"/>
      <c r="H216" s="867"/>
      <c r="I216" s="824"/>
      <c r="J216" s="824"/>
      <c r="K216" s="824"/>
      <c r="L216" s="824"/>
      <c r="M216" s="824"/>
      <c r="N216" s="824"/>
    </row>
    <row r="217" spans="3:14" hidden="1">
      <c r="C217" s="867"/>
      <c r="D217" s="867"/>
      <c r="E217" s="867"/>
      <c r="F217" s="867"/>
      <c r="G217" s="867"/>
      <c r="H217" s="867"/>
      <c r="I217" s="824"/>
      <c r="J217" s="824"/>
      <c r="K217" s="824"/>
      <c r="L217" s="824"/>
      <c r="M217" s="824"/>
      <c r="N217" s="824"/>
    </row>
    <row r="218" spans="3:14" hidden="1">
      <c r="C218" s="867"/>
      <c r="D218" s="867"/>
      <c r="E218" s="867"/>
      <c r="F218" s="867"/>
      <c r="G218" s="867"/>
      <c r="H218" s="867"/>
      <c r="I218" s="824"/>
      <c r="J218" s="824"/>
      <c r="K218" s="824"/>
      <c r="L218" s="824"/>
      <c r="M218" s="824"/>
      <c r="N218" s="824"/>
    </row>
    <row r="219" spans="3:14" hidden="1">
      <c r="C219" s="867"/>
      <c r="D219" s="867"/>
      <c r="E219" s="867"/>
      <c r="F219" s="867"/>
      <c r="G219" s="867"/>
      <c r="H219" s="867"/>
      <c r="I219" s="824"/>
      <c r="J219" s="824"/>
      <c r="K219" s="824"/>
      <c r="L219" s="824"/>
      <c r="M219" s="824"/>
      <c r="N219" s="824"/>
    </row>
    <row r="220" spans="3:14" hidden="1">
      <c r="C220" s="867"/>
      <c r="D220" s="867"/>
      <c r="E220" s="867"/>
      <c r="F220" s="867"/>
      <c r="G220" s="867"/>
      <c r="H220" s="867"/>
      <c r="I220" s="824"/>
      <c r="J220" s="824"/>
      <c r="K220" s="824"/>
      <c r="L220" s="824"/>
      <c r="M220" s="824"/>
      <c r="N220" s="824"/>
    </row>
    <row r="221" spans="3:14" hidden="1">
      <c r="C221" s="867"/>
      <c r="D221" s="867"/>
      <c r="E221" s="867"/>
      <c r="F221" s="867"/>
      <c r="G221" s="867"/>
      <c r="H221" s="867"/>
      <c r="I221" s="824"/>
      <c r="J221" s="824"/>
      <c r="K221" s="824"/>
      <c r="L221" s="824"/>
      <c r="M221" s="824"/>
      <c r="N221" s="824"/>
    </row>
    <row r="222" spans="3:14" hidden="1">
      <c r="C222" s="867"/>
      <c r="D222" s="867"/>
      <c r="E222" s="867"/>
      <c r="F222" s="867"/>
      <c r="G222" s="867"/>
      <c r="H222" s="867"/>
      <c r="I222" s="824"/>
      <c r="J222" s="824"/>
      <c r="K222" s="824"/>
      <c r="L222" s="824"/>
      <c r="M222" s="824"/>
      <c r="N222" s="824"/>
    </row>
    <row r="223" spans="3:14" hidden="1">
      <c r="C223" s="867"/>
      <c r="D223" s="867"/>
      <c r="E223" s="867"/>
      <c r="F223" s="867"/>
      <c r="G223" s="867"/>
      <c r="H223" s="867"/>
      <c r="I223" s="824"/>
      <c r="J223" s="824"/>
      <c r="K223" s="824"/>
      <c r="L223" s="824"/>
      <c r="M223" s="824"/>
      <c r="N223" s="824"/>
    </row>
    <row r="224" spans="3:14" hidden="1">
      <c r="C224" s="867"/>
      <c r="D224" s="867"/>
      <c r="E224" s="867"/>
      <c r="F224" s="867"/>
      <c r="G224" s="867"/>
      <c r="H224" s="867"/>
      <c r="I224" s="824"/>
      <c r="J224" s="824"/>
      <c r="K224" s="824"/>
      <c r="L224" s="824"/>
      <c r="M224" s="824"/>
      <c r="N224" s="824"/>
    </row>
    <row r="225" spans="3:14" hidden="1">
      <c r="C225" s="867"/>
      <c r="D225" s="867"/>
      <c r="E225" s="867"/>
      <c r="F225" s="867"/>
      <c r="G225" s="867"/>
      <c r="H225" s="867"/>
      <c r="I225" s="824"/>
      <c r="J225" s="824"/>
      <c r="K225" s="824"/>
      <c r="L225" s="824"/>
      <c r="M225" s="824"/>
      <c r="N225" s="824"/>
    </row>
    <row r="226" spans="3:14" hidden="1">
      <c r="C226" s="867"/>
      <c r="D226" s="867"/>
      <c r="E226" s="867"/>
      <c r="F226" s="867"/>
      <c r="G226" s="867"/>
      <c r="H226" s="867"/>
      <c r="I226" s="824"/>
      <c r="J226" s="824"/>
      <c r="K226" s="824"/>
      <c r="L226" s="824"/>
      <c r="M226" s="824"/>
      <c r="N226" s="824"/>
    </row>
    <row r="227" spans="3:14" hidden="1">
      <c r="C227" s="867"/>
      <c r="D227" s="867"/>
      <c r="E227" s="867"/>
      <c r="F227" s="867"/>
      <c r="G227" s="867"/>
      <c r="H227" s="867"/>
      <c r="I227" s="824"/>
      <c r="J227" s="824"/>
      <c r="K227" s="824"/>
      <c r="L227" s="824"/>
      <c r="M227" s="824"/>
      <c r="N227" s="824"/>
    </row>
    <row r="228" spans="3:14" hidden="1">
      <c r="C228" s="867"/>
      <c r="D228" s="867"/>
      <c r="E228" s="867"/>
      <c r="F228" s="867"/>
      <c r="G228" s="867"/>
      <c r="H228" s="867"/>
      <c r="I228" s="824"/>
      <c r="J228" s="824"/>
      <c r="K228" s="824"/>
      <c r="L228" s="824"/>
      <c r="M228" s="824"/>
      <c r="N228" s="824"/>
    </row>
    <row r="229" spans="3:14" hidden="1">
      <c r="C229" s="867"/>
      <c r="D229" s="867"/>
      <c r="E229" s="867"/>
      <c r="F229" s="867"/>
      <c r="G229" s="867"/>
      <c r="H229" s="867"/>
      <c r="I229" s="824"/>
      <c r="J229" s="824"/>
      <c r="K229" s="824"/>
      <c r="L229" s="824"/>
      <c r="M229" s="824"/>
      <c r="N229" s="824"/>
    </row>
    <row r="230" spans="3:14" hidden="1">
      <c r="C230" s="867"/>
      <c r="D230" s="867"/>
      <c r="E230" s="867"/>
      <c r="F230" s="867"/>
      <c r="G230" s="867"/>
      <c r="H230" s="867"/>
      <c r="I230" s="824"/>
      <c r="J230" s="824"/>
      <c r="K230" s="824"/>
      <c r="L230" s="824"/>
      <c r="M230" s="824"/>
      <c r="N230" s="824"/>
    </row>
    <row r="231" spans="3:14" hidden="1">
      <c r="C231" s="867"/>
      <c r="D231" s="867"/>
      <c r="E231" s="867"/>
      <c r="F231" s="867"/>
      <c r="G231" s="867"/>
      <c r="H231" s="867"/>
      <c r="I231" s="824"/>
      <c r="J231" s="824"/>
      <c r="K231" s="824"/>
      <c r="L231" s="824"/>
      <c r="M231" s="824"/>
      <c r="N231" s="824"/>
    </row>
    <row r="232" spans="3:14" hidden="1">
      <c r="C232" s="867"/>
      <c r="D232" s="867"/>
      <c r="E232" s="867"/>
      <c r="F232" s="867"/>
      <c r="G232" s="867"/>
      <c r="H232" s="867"/>
      <c r="I232" s="824"/>
      <c r="J232" s="824"/>
      <c r="K232" s="824"/>
      <c r="L232" s="824"/>
      <c r="M232" s="824"/>
      <c r="N232" s="824"/>
    </row>
    <row r="233" spans="3:14" hidden="1">
      <c r="C233" s="867"/>
      <c r="D233" s="867"/>
      <c r="E233" s="867"/>
      <c r="F233" s="867"/>
      <c r="G233" s="867"/>
      <c r="H233" s="867"/>
      <c r="I233" s="824"/>
      <c r="J233" s="824"/>
      <c r="K233" s="824"/>
      <c r="L233" s="824"/>
      <c r="M233" s="824"/>
      <c r="N233" s="824"/>
    </row>
    <row r="234" spans="3:14" hidden="1">
      <c r="C234" s="867"/>
      <c r="D234" s="867"/>
      <c r="E234" s="867"/>
      <c r="F234" s="867"/>
      <c r="G234" s="867"/>
      <c r="H234" s="867"/>
      <c r="I234" s="824"/>
      <c r="J234" s="824"/>
      <c r="K234" s="824"/>
      <c r="L234" s="824"/>
      <c r="M234" s="824"/>
      <c r="N234" s="824"/>
    </row>
    <row r="235" spans="3:14" hidden="1">
      <c r="C235" s="867"/>
      <c r="D235" s="867"/>
      <c r="E235" s="867"/>
      <c r="F235" s="867"/>
      <c r="G235" s="867"/>
      <c r="H235" s="867"/>
      <c r="I235" s="824"/>
      <c r="J235" s="824"/>
      <c r="K235" s="824"/>
      <c r="L235" s="824"/>
      <c r="M235" s="824"/>
      <c r="N235" s="824"/>
    </row>
    <row r="236" spans="3:14" hidden="1">
      <c r="C236" s="867"/>
      <c r="D236" s="867"/>
      <c r="E236" s="867"/>
      <c r="F236" s="867"/>
      <c r="G236" s="867"/>
      <c r="H236" s="867"/>
      <c r="I236" s="824"/>
      <c r="J236" s="824"/>
      <c r="K236" s="824"/>
      <c r="L236" s="824"/>
      <c r="M236" s="824"/>
      <c r="N236" s="824"/>
    </row>
    <row r="237" spans="3:14" hidden="1">
      <c r="C237" s="867"/>
      <c r="D237" s="867"/>
      <c r="E237" s="867"/>
      <c r="F237" s="867"/>
      <c r="G237" s="867"/>
      <c r="H237" s="867"/>
      <c r="I237" s="824"/>
      <c r="J237" s="824"/>
      <c r="K237" s="824"/>
      <c r="L237" s="824"/>
      <c r="M237" s="824"/>
      <c r="N237" s="824"/>
    </row>
    <row r="238" spans="3:14" hidden="1">
      <c r="C238" s="867"/>
      <c r="D238" s="867"/>
      <c r="E238" s="867"/>
      <c r="F238" s="867"/>
      <c r="G238" s="867"/>
      <c r="H238" s="867"/>
      <c r="I238" s="824"/>
      <c r="J238" s="824"/>
      <c r="K238" s="824"/>
      <c r="L238" s="824"/>
      <c r="M238" s="824"/>
      <c r="N238" s="824"/>
    </row>
    <row r="239" spans="3:14" hidden="1">
      <c r="C239" s="867"/>
      <c r="D239" s="867"/>
      <c r="E239" s="867"/>
      <c r="F239" s="867"/>
      <c r="G239" s="867"/>
      <c r="H239" s="867"/>
      <c r="I239" s="824"/>
      <c r="J239" s="824"/>
      <c r="K239" s="824"/>
      <c r="L239" s="824"/>
      <c r="M239" s="824"/>
      <c r="N239" s="824"/>
    </row>
    <row r="240" spans="3:14" hidden="1">
      <c r="C240" s="867"/>
      <c r="D240" s="867"/>
      <c r="E240" s="867"/>
      <c r="F240" s="867"/>
      <c r="G240" s="867"/>
      <c r="H240" s="867"/>
      <c r="I240" s="824"/>
      <c r="J240" s="824"/>
      <c r="K240" s="824"/>
      <c r="L240" s="824"/>
      <c r="M240" s="824"/>
      <c r="N240" s="824"/>
    </row>
    <row r="241" spans="3:14" hidden="1">
      <c r="C241" s="867"/>
      <c r="D241" s="867"/>
      <c r="E241" s="867"/>
      <c r="F241" s="867"/>
      <c r="G241" s="867"/>
      <c r="H241" s="867"/>
      <c r="I241" s="824"/>
      <c r="J241" s="824"/>
      <c r="K241" s="824"/>
      <c r="L241" s="824"/>
      <c r="M241" s="824"/>
      <c r="N241" s="824"/>
    </row>
    <row r="242" spans="3:14" hidden="1">
      <c r="C242" s="867"/>
      <c r="D242" s="867"/>
      <c r="E242" s="867"/>
      <c r="F242" s="867"/>
      <c r="G242" s="867"/>
      <c r="H242" s="867"/>
      <c r="I242" s="824"/>
      <c r="J242" s="824"/>
      <c r="K242" s="824"/>
      <c r="L242" s="824"/>
      <c r="M242" s="824"/>
      <c r="N242" s="824"/>
    </row>
    <row r="243" spans="3:14" hidden="1">
      <c r="C243" s="867"/>
      <c r="D243" s="867"/>
      <c r="E243" s="867"/>
      <c r="F243" s="867"/>
      <c r="G243" s="867"/>
      <c r="H243" s="867"/>
      <c r="I243" s="824"/>
      <c r="J243" s="824"/>
      <c r="K243" s="824"/>
      <c r="L243" s="824"/>
      <c r="M243" s="824"/>
      <c r="N243" s="824"/>
    </row>
    <row r="244" spans="3:14" hidden="1">
      <c r="C244" s="867"/>
      <c r="D244" s="867"/>
      <c r="E244" s="867"/>
      <c r="F244" s="867"/>
      <c r="G244" s="867"/>
      <c r="H244" s="867"/>
      <c r="I244" s="824"/>
      <c r="J244" s="824"/>
      <c r="K244" s="824"/>
      <c r="L244" s="824"/>
      <c r="M244" s="824"/>
      <c r="N244" s="824"/>
    </row>
    <row r="245" spans="3:14" hidden="1">
      <c r="C245" s="867"/>
      <c r="D245" s="867"/>
      <c r="E245" s="867"/>
      <c r="F245" s="867"/>
      <c r="G245" s="867"/>
      <c r="H245" s="867"/>
      <c r="I245" s="824"/>
      <c r="J245" s="824"/>
      <c r="K245" s="824"/>
      <c r="L245" s="824"/>
      <c r="M245" s="824"/>
      <c r="N245" s="824"/>
    </row>
    <row r="246" spans="3:14" hidden="1">
      <c r="C246" s="867"/>
      <c r="D246" s="867"/>
      <c r="E246" s="867"/>
      <c r="F246" s="867"/>
      <c r="G246" s="867"/>
      <c r="H246" s="867"/>
      <c r="I246" s="824"/>
      <c r="J246" s="824"/>
      <c r="K246" s="824"/>
      <c r="L246" s="824"/>
      <c r="M246" s="824"/>
      <c r="N246" s="824"/>
    </row>
    <row r="247" spans="3:14"/>
    <row r="248" spans="3:14"/>
    <row r="249" spans="3:14"/>
    <row r="250" spans="3:14"/>
    <row r="251" spans="3:14"/>
    <row r="252" spans="3:14"/>
    <row r="253" spans="3:14"/>
    <row r="254" spans="3:14"/>
    <row r="255" spans="3:14"/>
    <row r="256" spans="3:14"/>
    <row r="257"/>
    <row r="258"/>
    <row r="259"/>
    <row r="260"/>
  </sheetData>
  <mergeCells count="691">
    <mergeCell ref="C245:H245"/>
    <mergeCell ref="I245:J245"/>
    <mergeCell ref="K245:L245"/>
    <mergeCell ref="M245:N245"/>
    <mergeCell ref="C246:H246"/>
    <mergeCell ref="I246:J246"/>
    <mergeCell ref="K246:L246"/>
    <mergeCell ref="M246:N246"/>
    <mergeCell ref="C243:H243"/>
    <mergeCell ref="I243:J243"/>
    <mergeCell ref="K243:L243"/>
    <mergeCell ref="M243:N243"/>
    <mergeCell ref="C244:H244"/>
    <mergeCell ref="I244:J244"/>
    <mergeCell ref="K244:L244"/>
    <mergeCell ref="M244:N244"/>
    <mergeCell ref="C241:H241"/>
    <mergeCell ref="I241:J241"/>
    <mergeCell ref="K241:L241"/>
    <mergeCell ref="M241:N241"/>
    <mergeCell ref="C242:H242"/>
    <mergeCell ref="I242:J242"/>
    <mergeCell ref="K242:L242"/>
    <mergeCell ref="M242:N242"/>
    <mergeCell ref="C239:H239"/>
    <mergeCell ref="I239:J239"/>
    <mergeCell ref="K239:L239"/>
    <mergeCell ref="M239:N239"/>
    <mergeCell ref="C240:H240"/>
    <mergeCell ref="I240:J240"/>
    <mergeCell ref="K240:L240"/>
    <mergeCell ref="M240:N240"/>
    <mergeCell ref="C237:H237"/>
    <mergeCell ref="I237:J237"/>
    <mergeCell ref="K237:L237"/>
    <mergeCell ref="M237:N237"/>
    <mergeCell ref="C238:H238"/>
    <mergeCell ref="I238:J238"/>
    <mergeCell ref="K238:L238"/>
    <mergeCell ref="M238:N238"/>
    <mergeCell ref="C235:H235"/>
    <mergeCell ref="I235:J235"/>
    <mergeCell ref="K235:L235"/>
    <mergeCell ref="M235:N235"/>
    <mergeCell ref="C236:H236"/>
    <mergeCell ref="I236:J236"/>
    <mergeCell ref="K236:L236"/>
    <mergeCell ref="M236:N236"/>
    <mergeCell ref="C233:H233"/>
    <mergeCell ref="I233:J233"/>
    <mergeCell ref="K233:L233"/>
    <mergeCell ref="M233:N233"/>
    <mergeCell ref="C234:H234"/>
    <mergeCell ref="I234:J234"/>
    <mergeCell ref="K234:L234"/>
    <mergeCell ref="M234:N234"/>
    <mergeCell ref="C231:H231"/>
    <mergeCell ref="I231:J231"/>
    <mergeCell ref="K231:L231"/>
    <mergeCell ref="M231:N231"/>
    <mergeCell ref="C232:H232"/>
    <mergeCell ref="I232:J232"/>
    <mergeCell ref="K232:L232"/>
    <mergeCell ref="M232:N232"/>
    <mergeCell ref="C229:H229"/>
    <mergeCell ref="I229:J229"/>
    <mergeCell ref="K229:L229"/>
    <mergeCell ref="M229:N229"/>
    <mergeCell ref="C230:H230"/>
    <mergeCell ref="I230:J230"/>
    <mergeCell ref="K230:L230"/>
    <mergeCell ref="M230:N230"/>
    <mergeCell ref="C227:H227"/>
    <mergeCell ref="I227:J227"/>
    <mergeCell ref="K227:L227"/>
    <mergeCell ref="M227:N227"/>
    <mergeCell ref="C228:H228"/>
    <mergeCell ref="I228:J228"/>
    <mergeCell ref="K228:L228"/>
    <mergeCell ref="M228:N228"/>
    <mergeCell ref="C225:H225"/>
    <mergeCell ref="I225:J225"/>
    <mergeCell ref="K225:L225"/>
    <mergeCell ref="M225:N225"/>
    <mergeCell ref="C226:H226"/>
    <mergeCell ref="I226:J226"/>
    <mergeCell ref="K226:L226"/>
    <mergeCell ref="M226:N226"/>
    <mergeCell ref="C223:H223"/>
    <mergeCell ref="I223:J223"/>
    <mergeCell ref="K223:L223"/>
    <mergeCell ref="M223:N223"/>
    <mergeCell ref="C224:H224"/>
    <mergeCell ref="I224:J224"/>
    <mergeCell ref="K224:L224"/>
    <mergeCell ref="M224:N224"/>
    <mergeCell ref="C221:H221"/>
    <mergeCell ref="I221:J221"/>
    <mergeCell ref="K221:L221"/>
    <mergeCell ref="M221:N221"/>
    <mergeCell ref="C222:H222"/>
    <mergeCell ref="I222:J222"/>
    <mergeCell ref="K222:L222"/>
    <mergeCell ref="M222:N222"/>
    <mergeCell ref="C219:H219"/>
    <mergeCell ref="I219:J219"/>
    <mergeCell ref="K219:L219"/>
    <mergeCell ref="M219:N219"/>
    <mergeCell ref="C220:H220"/>
    <mergeCell ref="I220:J220"/>
    <mergeCell ref="K220:L220"/>
    <mergeCell ref="M220:N220"/>
    <mergeCell ref="C217:H217"/>
    <mergeCell ref="I217:J217"/>
    <mergeCell ref="K217:L217"/>
    <mergeCell ref="M217:N217"/>
    <mergeCell ref="C218:H218"/>
    <mergeCell ref="I218:J218"/>
    <mergeCell ref="K218:L218"/>
    <mergeCell ref="M218:N218"/>
    <mergeCell ref="C215:H215"/>
    <mergeCell ref="I215:J215"/>
    <mergeCell ref="K215:L215"/>
    <mergeCell ref="M215:N215"/>
    <mergeCell ref="C216:H216"/>
    <mergeCell ref="I216:J216"/>
    <mergeCell ref="K216:L216"/>
    <mergeCell ref="M216:N216"/>
    <mergeCell ref="C213:H213"/>
    <mergeCell ref="I213:J213"/>
    <mergeCell ref="K213:L213"/>
    <mergeCell ref="M213:N213"/>
    <mergeCell ref="C214:H214"/>
    <mergeCell ref="I214:J214"/>
    <mergeCell ref="K214:L214"/>
    <mergeCell ref="M214:N214"/>
    <mergeCell ref="C211:H211"/>
    <mergeCell ref="I211:J211"/>
    <mergeCell ref="K211:L211"/>
    <mergeCell ref="M211:N211"/>
    <mergeCell ref="C212:H212"/>
    <mergeCell ref="I212:J212"/>
    <mergeCell ref="K212:L212"/>
    <mergeCell ref="M212:N212"/>
    <mergeCell ref="C209:H209"/>
    <mergeCell ref="I209:J209"/>
    <mergeCell ref="K209:L209"/>
    <mergeCell ref="M209:N209"/>
    <mergeCell ref="C210:H210"/>
    <mergeCell ref="I210:J210"/>
    <mergeCell ref="K210:L210"/>
    <mergeCell ref="M210:N210"/>
    <mergeCell ref="C207:H207"/>
    <mergeCell ref="I207:J207"/>
    <mergeCell ref="K207:L207"/>
    <mergeCell ref="M207:N207"/>
    <mergeCell ref="C208:H208"/>
    <mergeCell ref="I208:J208"/>
    <mergeCell ref="K208:L208"/>
    <mergeCell ref="M208:N208"/>
    <mergeCell ref="C205:H205"/>
    <mergeCell ref="I205:J205"/>
    <mergeCell ref="K205:L205"/>
    <mergeCell ref="M205:N205"/>
    <mergeCell ref="C206:H206"/>
    <mergeCell ref="I206:J206"/>
    <mergeCell ref="K206:L206"/>
    <mergeCell ref="M206:N206"/>
    <mergeCell ref="C203:H203"/>
    <mergeCell ref="I203:J203"/>
    <mergeCell ref="K203:L203"/>
    <mergeCell ref="M203:N203"/>
    <mergeCell ref="C204:H204"/>
    <mergeCell ref="I204:J204"/>
    <mergeCell ref="K204:L204"/>
    <mergeCell ref="M204:N204"/>
    <mergeCell ref="C201:H201"/>
    <mergeCell ref="I201:J201"/>
    <mergeCell ref="K201:L201"/>
    <mergeCell ref="M201:N201"/>
    <mergeCell ref="C202:H202"/>
    <mergeCell ref="I202:J202"/>
    <mergeCell ref="K202:L202"/>
    <mergeCell ref="M202:N202"/>
    <mergeCell ref="C199:H199"/>
    <mergeCell ref="I199:J199"/>
    <mergeCell ref="K199:L199"/>
    <mergeCell ref="M199:N199"/>
    <mergeCell ref="C200:H200"/>
    <mergeCell ref="I200:J200"/>
    <mergeCell ref="K200:L200"/>
    <mergeCell ref="M200:N200"/>
    <mergeCell ref="C197:H197"/>
    <mergeCell ref="I197:J197"/>
    <mergeCell ref="K197:L197"/>
    <mergeCell ref="M197:N197"/>
    <mergeCell ref="C198:H198"/>
    <mergeCell ref="I198:J198"/>
    <mergeCell ref="K198:L198"/>
    <mergeCell ref="M198:N198"/>
    <mergeCell ref="C195:H195"/>
    <mergeCell ref="I195:J195"/>
    <mergeCell ref="K195:L195"/>
    <mergeCell ref="M195:N195"/>
    <mergeCell ref="C196:H196"/>
    <mergeCell ref="I196:J196"/>
    <mergeCell ref="K196:L196"/>
    <mergeCell ref="M196:N196"/>
    <mergeCell ref="C193:H193"/>
    <mergeCell ref="I193:J193"/>
    <mergeCell ref="K193:L193"/>
    <mergeCell ref="M193:N193"/>
    <mergeCell ref="C194:H194"/>
    <mergeCell ref="I194:J194"/>
    <mergeCell ref="K194:L194"/>
    <mergeCell ref="M194:N194"/>
    <mergeCell ref="C191:H191"/>
    <mergeCell ref="I191:J191"/>
    <mergeCell ref="K191:L191"/>
    <mergeCell ref="M191:N191"/>
    <mergeCell ref="C192:H192"/>
    <mergeCell ref="I192:J192"/>
    <mergeCell ref="K192:L192"/>
    <mergeCell ref="M192:N192"/>
    <mergeCell ref="C189:H189"/>
    <mergeCell ref="I189:J189"/>
    <mergeCell ref="K189:L189"/>
    <mergeCell ref="M189:N189"/>
    <mergeCell ref="C190:H190"/>
    <mergeCell ref="I190:J190"/>
    <mergeCell ref="K190:L190"/>
    <mergeCell ref="M190:N190"/>
    <mergeCell ref="C187:H187"/>
    <mergeCell ref="I187:J187"/>
    <mergeCell ref="K187:L187"/>
    <mergeCell ref="M187:N187"/>
    <mergeCell ref="C188:H188"/>
    <mergeCell ref="I188:J188"/>
    <mergeCell ref="K188:L188"/>
    <mergeCell ref="M188:N188"/>
    <mergeCell ref="C185:H185"/>
    <mergeCell ref="I185:J185"/>
    <mergeCell ref="K185:L185"/>
    <mergeCell ref="M185:N185"/>
    <mergeCell ref="C186:H186"/>
    <mergeCell ref="I186:J186"/>
    <mergeCell ref="K186:L186"/>
    <mergeCell ref="M186:N186"/>
    <mergeCell ref="C183:H183"/>
    <mergeCell ref="I183:J183"/>
    <mergeCell ref="K183:L183"/>
    <mergeCell ref="M183:N183"/>
    <mergeCell ref="C184:H184"/>
    <mergeCell ref="I184:J184"/>
    <mergeCell ref="K184:L184"/>
    <mergeCell ref="M184:N184"/>
    <mergeCell ref="C181:H181"/>
    <mergeCell ref="I181:J181"/>
    <mergeCell ref="K181:L181"/>
    <mergeCell ref="M181:N181"/>
    <mergeCell ref="C182:H182"/>
    <mergeCell ref="I182:J182"/>
    <mergeCell ref="K182:L182"/>
    <mergeCell ref="M182:N182"/>
    <mergeCell ref="C179:H179"/>
    <mergeCell ref="I179:J179"/>
    <mergeCell ref="K179:L179"/>
    <mergeCell ref="M179:N179"/>
    <mergeCell ref="C180:H180"/>
    <mergeCell ref="I180:J180"/>
    <mergeCell ref="K180:L180"/>
    <mergeCell ref="M180:N180"/>
    <mergeCell ref="C177:H177"/>
    <mergeCell ref="I177:J177"/>
    <mergeCell ref="K177:L177"/>
    <mergeCell ref="M177:N177"/>
    <mergeCell ref="C178:H178"/>
    <mergeCell ref="I178:J178"/>
    <mergeCell ref="K178:L178"/>
    <mergeCell ref="M178:N178"/>
    <mergeCell ref="C175:H175"/>
    <mergeCell ref="I175:J175"/>
    <mergeCell ref="K175:L175"/>
    <mergeCell ref="M175:N175"/>
    <mergeCell ref="C176:H176"/>
    <mergeCell ref="I176:J176"/>
    <mergeCell ref="K176:L176"/>
    <mergeCell ref="M176:N176"/>
    <mergeCell ref="C173:H173"/>
    <mergeCell ref="I173:J173"/>
    <mergeCell ref="K173:L173"/>
    <mergeCell ref="M173:N173"/>
    <mergeCell ref="C174:H174"/>
    <mergeCell ref="I174:J174"/>
    <mergeCell ref="K174:L174"/>
    <mergeCell ref="M174:N174"/>
    <mergeCell ref="C171:H171"/>
    <mergeCell ref="I171:J171"/>
    <mergeCell ref="K171:L171"/>
    <mergeCell ref="M171:N171"/>
    <mergeCell ref="C172:H172"/>
    <mergeCell ref="I172:J172"/>
    <mergeCell ref="K172:L172"/>
    <mergeCell ref="M172:N172"/>
    <mergeCell ref="C169:H169"/>
    <mergeCell ref="I169:J169"/>
    <mergeCell ref="K169:L169"/>
    <mergeCell ref="M169:N169"/>
    <mergeCell ref="C170:H170"/>
    <mergeCell ref="I170:J170"/>
    <mergeCell ref="K170:L170"/>
    <mergeCell ref="M170:N170"/>
    <mergeCell ref="C167:H167"/>
    <mergeCell ref="I167:J167"/>
    <mergeCell ref="K167:L167"/>
    <mergeCell ref="M167:N167"/>
    <mergeCell ref="C168:H168"/>
    <mergeCell ref="I168:J168"/>
    <mergeCell ref="K168:L168"/>
    <mergeCell ref="M168:N168"/>
    <mergeCell ref="C165:H165"/>
    <mergeCell ref="I165:J165"/>
    <mergeCell ref="K165:L165"/>
    <mergeCell ref="M165:N165"/>
    <mergeCell ref="C166:H166"/>
    <mergeCell ref="I166:J166"/>
    <mergeCell ref="K166:L166"/>
    <mergeCell ref="M166:N166"/>
    <mergeCell ref="C163:H163"/>
    <mergeCell ref="I163:J163"/>
    <mergeCell ref="K163:L163"/>
    <mergeCell ref="M163:N163"/>
    <mergeCell ref="C164:H164"/>
    <mergeCell ref="I164:J164"/>
    <mergeCell ref="K164:L164"/>
    <mergeCell ref="M164:N164"/>
    <mergeCell ref="C152:H152"/>
    <mergeCell ref="I152:J152"/>
    <mergeCell ref="K152:L152"/>
    <mergeCell ref="M152:N152"/>
    <mergeCell ref="C158:N158"/>
    <mergeCell ref="C159:N159"/>
    <mergeCell ref="C162:H162"/>
    <mergeCell ref="I162:J162"/>
    <mergeCell ref="K162:L162"/>
    <mergeCell ref="M162:N162"/>
    <mergeCell ref="C160:N160"/>
    <mergeCell ref="C161:N161"/>
    <mergeCell ref="C157:N157"/>
    <mergeCell ref="B153:N153"/>
    <mergeCell ref="C155:N155"/>
    <mergeCell ref="C156:N156"/>
    <mergeCell ref="C150:H150"/>
    <mergeCell ref="I150:J150"/>
    <mergeCell ref="K150:L150"/>
    <mergeCell ref="M150:N150"/>
    <mergeCell ref="C151:H151"/>
    <mergeCell ref="I151:J151"/>
    <mergeCell ref="K151:L151"/>
    <mergeCell ref="M151:N151"/>
    <mergeCell ref="C148:H148"/>
    <mergeCell ref="I148:J148"/>
    <mergeCell ref="K148:L148"/>
    <mergeCell ref="M148:N148"/>
    <mergeCell ref="C149:H149"/>
    <mergeCell ref="I149:J149"/>
    <mergeCell ref="K149:L149"/>
    <mergeCell ref="M149:N149"/>
    <mergeCell ref="C146:H146"/>
    <mergeCell ref="I146:J146"/>
    <mergeCell ref="K146:L146"/>
    <mergeCell ref="M146:N146"/>
    <mergeCell ref="C147:H147"/>
    <mergeCell ref="I147:J147"/>
    <mergeCell ref="K147:L147"/>
    <mergeCell ref="M147:N147"/>
    <mergeCell ref="C144:H144"/>
    <mergeCell ref="I144:J144"/>
    <mergeCell ref="K144:L144"/>
    <mergeCell ref="M144:N144"/>
    <mergeCell ref="C145:H145"/>
    <mergeCell ref="I145:J145"/>
    <mergeCell ref="K145:L145"/>
    <mergeCell ref="M145:N145"/>
    <mergeCell ref="C142:H142"/>
    <mergeCell ref="I142:J142"/>
    <mergeCell ref="K142:L142"/>
    <mergeCell ref="M142:N142"/>
    <mergeCell ref="C143:H143"/>
    <mergeCell ref="I143:J143"/>
    <mergeCell ref="K143:L143"/>
    <mergeCell ref="M143:N143"/>
    <mergeCell ref="C140:H140"/>
    <mergeCell ref="I140:J140"/>
    <mergeCell ref="K140:L140"/>
    <mergeCell ref="M140:N140"/>
    <mergeCell ref="C141:H141"/>
    <mergeCell ref="I141:J141"/>
    <mergeCell ref="K141:L141"/>
    <mergeCell ref="M141:N141"/>
    <mergeCell ref="C138:H138"/>
    <mergeCell ref="I138:J138"/>
    <mergeCell ref="K138:L138"/>
    <mergeCell ref="M138:N138"/>
    <mergeCell ref="C139:H139"/>
    <mergeCell ref="I139:J139"/>
    <mergeCell ref="K139:L139"/>
    <mergeCell ref="M139:N139"/>
    <mergeCell ref="C136:H136"/>
    <mergeCell ref="I136:J136"/>
    <mergeCell ref="K136:L136"/>
    <mergeCell ref="M136:N136"/>
    <mergeCell ref="C137:H137"/>
    <mergeCell ref="I137:J137"/>
    <mergeCell ref="K137:L137"/>
    <mergeCell ref="M137:N137"/>
    <mergeCell ref="C134:H134"/>
    <mergeCell ref="I134:J134"/>
    <mergeCell ref="K134:L134"/>
    <mergeCell ref="M134:N134"/>
    <mergeCell ref="C135:H135"/>
    <mergeCell ref="I135:J135"/>
    <mergeCell ref="K135:L135"/>
    <mergeCell ref="M135:N135"/>
    <mergeCell ref="C132:H132"/>
    <mergeCell ref="I132:J132"/>
    <mergeCell ref="K132:L132"/>
    <mergeCell ref="M132:N132"/>
    <mergeCell ref="C133:H133"/>
    <mergeCell ref="I133:J133"/>
    <mergeCell ref="K133:L133"/>
    <mergeCell ref="M133:N133"/>
    <mergeCell ref="C130:H130"/>
    <mergeCell ref="I130:J130"/>
    <mergeCell ref="K130:L130"/>
    <mergeCell ref="M130:N130"/>
    <mergeCell ref="C131:H131"/>
    <mergeCell ref="I131:J131"/>
    <mergeCell ref="K131:L131"/>
    <mergeCell ref="M131:N131"/>
    <mergeCell ref="C128:H128"/>
    <mergeCell ref="I128:J128"/>
    <mergeCell ref="K128:L128"/>
    <mergeCell ref="M128:N128"/>
    <mergeCell ref="C129:H129"/>
    <mergeCell ref="I129:J129"/>
    <mergeCell ref="K129:L129"/>
    <mergeCell ref="M129:N129"/>
    <mergeCell ref="C126:H126"/>
    <mergeCell ref="I126:J126"/>
    <mergeCell ref="K126:L126"/>
    <mergeCell ref="M126:N126"/>
    <mergeCell ref="C127:H127"/>
    <mergeCell ref="I127:J127"/>
    <mergeCell ref="K127:L127"/>
    <mergeCell ref="M127:N127"/>
    <mergeCell ref="C124:H124"/>
    <mergeCell ref="I124:J124"/>
    <mergeCell ref="K124:L124"/>
    <mergeCell ref="M124:N124"/>
    <mergeCell ref="C125:H125"/>
    <mergeCell ref="I125:J125"/>
    <mergeCell ref="K125:L125"/>
    <mergeCell ref="M125:N125"/>
    <mergeCell ref="C122:H122"/>
    <mergeCell ref="I122:J122"/>
    <mergeCell ref="K122:L122"/>
    <mergeCell ref="M122:N122"/>
    <mergeCell ref="C123:H123"/>
    <mergeCell ref="I123:J123"/>
    <mergeCell ref="K123:L123"/>
    <mergeCell ref="M123:N123"/>
    <mergeCell ref="C120:H120"/>
    <mergeCell ref="I120:J120"/>
    <mergeCell ref="K120:L120"/>
    <mergeCell ref="M120:N120"/>
    <mergeCell ref="C121:H121"/>
    <mergeCell ref="I121:J121"/>
    <mergeCell ref="K121:L121"/>
    <mergeCell ref="M121:N121"/>
    <mergeCell ref="K118:L118"/>
    <mergeCell ref="M118:N118"/>
    <mergeCell ref="C119:H119"/>
    <mergeCell ref="I119:J119"/>
    <mergeCell ref="K119:L119"/>
    <mergeCell ref="M119:N119"/>
    <mergeCell ref="K116:L116"/>
    <mergeCell ref="M116:N116"/>
    <mergeCell ref="C117:H117"/>
    <mergeCell ref="I117:J117"/>
    <mergeCell ref="K117:L117"/>
    <mergeCell ref="M117:N117"/>
    <mergeCell ref="C116:H116"/>
    <mergeCell ref="I116:J116"/>
    <mergeCell ref="C118:H118"/>
    <mergeCell ref="I118:J118"/>
    <mergeCell ref="C114:H114"/>
    <mergeCell ref="I114:J114"/>
    <mergeCell ref="K114:L114"/>
    <mergeCell ref="M114:N114"/>
    <mergeCell ref="C115:H115"/>
    <mergeCell ref="I115:J115"/>
    <mergeCell ref="K115:L115"/>
    <mergeCell ref="M115:N115"/>
    <mergeCell ref="K112:L112"/>
    <mergeCell ref="M112:N112"/>
    <mergeCell ref="C113:H113"/>
    <mergeCell ref="I113:J113"/>
    <mergeCell ref="K113:L113"/>
    <mergeCell ref="M113:N113"/>
    <mergeCell ref="C112:H112"/>
    <mergeCell ref="I112:J112"/>
    <mergeCell ref="K110:L110"/>
    <mergeCell ref="M110:N110"/>
    <mergeCell ref="C111:H111"/>
    <mergeCell ref="I111:J111"/>
    <mergeCell ref="K111:L111"/>
    <mergeCell ref="M111:N111"/>
    <mergeCell ref="C108:H108"/>
    <mergeCell ref="I108:J108"/>
    <mergeCell ref="K108:L108"/>
    <mergeCell ref="M108:N108"/>
    <mergeCell ref="C109:H109"/>
    <mergeCell ref="I109:J109"/>
    <mergeCell ref="K109:L109"/>
    <mergeCell ref="M109:N109"/>
    <mergeCell ref="C110:H110"/>
    <mergeCell ref="I110:J110"/>
    <mergeCell ref="K106:L106"/>
    <mergeCell ref="M106:N106"/>
    <mergeCell ref="C107:H107"/>
    <mergeCell ref="I107:J107"/>
    <mergeCell ref="K107:L107"/>
    <mergeCell ref="M107:N107"/>
    <mergeCell ref="K104:L104"/>
    <mergeCell ref="M104:N104"/>
    <mergeCell ref="C105:H105"/>
    <mergeCell ref="I105:J105"/>
    <mergeCell ref="K105:L105"/>
    <mergeCell ref="M105:N105"/>
    <mergeCell ref="C104:H104"/>
    <mergeCell ref="I104:J104"/>
    <mergeCell ref="C106:H106"/>
    <mergeCell ref="I106:J106"/>
    <mergeCell ref="C102:H102"/>
    <mergeCell ref="I102:J102"/>
    <mergeCell ref="K102:L102"/>
    <mergeCell ref="M102:N102"/>
    <mergeCell ref="C103:H103"/>
    <mergeCell ref="I103:J103"/>
    <mergeCell ref="K103:L103"/>
    <mergeCell ref="M103:N103"/>
    <mergeCell ref="K100:L100"/>
    <mergeCell ref="M100:N100"/>
    <mergeCell ref="C101:H101"/>
    <mergeCell ref="I101:J101"/>
    <mergeCell ref="K101:L101"/>
    <mergeCell ref="M101:N101"/>
    <mergeCell ref="C100:H100"/>
    <mergeCell ref="I100:J100"/>
    <mergeCell ref="K98:L98"/>
    <mergeCell ref="M98:N98"/>
    <mergeCell ref="C99:H99"/>
    <mergeCell ref="I99:J99"/>
    <mergeCell ref="K99:L99"/>
    <mergeCell ref="M99:N99"/>
    <mergeCell ref="K96:L96"/>
    <mergeCell ref="M96:N96"/>
    <mergeCell ref="C97:H97"/>
    <mergeCell ref="I97:J97"/>
    <mergeCell ref="K97:L97"/>
    <mergeCell ref="M97:N97"/>
    <mergeCell ref="C98:H98"/>
    <mergeCell ref="I98:J98"/>
    <mergeCell ref="C96:H96"/>
    <mergeCell ref="I96:J96"/>
    <mergeCell ref="C95:H95"/>
    <mergeCell ref="I95:J95"/>
    <mergeCell ref="K95:L95"/>
    <mergeCell ref="M95:N95"/>
    <mergeCell ref="C93:H93"/>
    <mergeCell ref="I93:J93"/>
    <mergeCell ref="K93:L93"/>
    <mergeCell ref="M93:N93"/>
    <mergeCell ref="C94:H94"/>
    <mergeCell ref="I94:J94"/>
    <mergeCell ref="D58:N58"/>
    <mergeCell ref="D61:N61"/>
    <mergeCell ref="D62:N62"/>
    <mergeCell ref="D63:N63"/>
    <mergeCell ref="D64:N64"/>
    <mergeCell ref="K94:L94"/>
    <mergeCell ref="M94:N94"/>
    <mergeCell ref="C90:H90"/>
    <mergeCell ref="M90:N90"/>
    <mergeCell ref="I90:L90"/>
    <mergeCell ref="B67:N67"/>
    <mergeCell ref="C69:H69"/>
    <mergeCell ref="I69:L69"/>
    <mergeCell ref="M69:N69"/>
    <mergeCell ref="I78:L78"/>
    <mergeCell ref="M78:N78"/>
    <mergeCell ref="B70:B77"/>
    <mergeCell ref="C92:H92"/>
    <mergeCell ref="I92:J92"/>
    <mergeCell ref="K92:L92"/>
    <mergeCell ref="M92:N92"/>
    <mergeCell ref="B16:N16"/>
    <mergeCell ref="B39:N39"/>
    <mergeCell ref="C41:N41"/>
    <mergeCell ref="C44:N44"/>
    <mergeCell ref="C89:H89"/>
    <mergeCell ref="M89:N89"/>
    <mergeCell ref="I89:L89"/>
    <mergeCell ref="C42:F42"/>
    <mergeCell ref="G42:N42"/>
    <mergeCell ref="C43:N43"/>
    <mergeCell ref="D60:N60"/>
    <mergeCell ref="D46:N46"/>
    <mergeCell ref="D47:N47"/>
    <mergeCell ref="D48:N48"/>
    <mergeCell ref="D49:N49"/>
    <mergeCell ref="D50:N50"/>
    <mergeCell ref="D51:N51"/>
    <mergeCell ref="B87:N87"/>
    <mergeCell ref="D65:N65"/>
    <mergeCell ref="D53:N53"/>
    <mergeCell ref="D54:N54"/>
    <mergeCell ref="D55:N55"/>
    <mergeCell ref="D56:N56"/>
    <mergeCell ref="D57:N57"/>
    <mergeCell ref="B33:N33"/>
    <mergeCell ref="C35:N35"/>
    <mergeCell ref="C37:N37"/>
    <mergeCell ref="C36:N36"/>
    <mergeCell ref="B2:N2"/>
    <mergeCell ref="C30:N30"/>
    <mergeCell ref="C31:N31"/>
    <mergeCell ref="B4:N4"/>
    <mergeCell ref="B28:N28"/>
    <mergeCell ref="C6:N6"/>
    <mergeCell ref="C9:N9"/>
    <mergeCell ref="C10:N10"/>
    <mergeCell ref="C11:N11"/>
    <mergeCell ref="C12:N12"/>
    <mergeCell ref="C13:N13"/>
    <mergeCell ref="F23:G23"/>
    <mergeCell ref="F24:G24"/>
    <mergeCell ref="F25:G25"/>
    <mergeCell ref="F26:G26"/>
    <mergeCell ref="F19:G19"/>
    <mergeCell ref="F18:G18"/>
    <mergeCell ref="C7:N7"/>
    <mergeCell ref="B21:N21"/>
    <mergeCell ref="C14:N14"/>
    <mergeCell ref="C70:H77"/>
    <mergeCell ref="M70:N70"/>
    <mergeCell ref="M71:N71"/>
    <mergeCell ref="M72:N72"/>
    <mergeCell ref="M73:N73"/>
    <mergeCell ref="M74:N74"/>
    <mergeCell ref="M75:N75"/>
    <mergeCell ref="M76:N76"/>
    <mergeCell ref="M77:N77"/>
    <mergeCell ref="I70:L70"/>
    <mergeCell ref="I71:L71"/>
    <mergeCell ref="I72:L72"/>
    <mergeCell ref="I73:L73"/>
    <mergeCell ref="I74:L74"/>
    <mergeCell ref="I75:L75"/>
    <mergeCell ref="I76:L76"/>
    <mergeCell ref="I77:L77"/>
    <mergeCell ref="M83:N83"/>
    <mergeCell ref="C84:H85"/>
    <mergeCell ref="I84:L84"/>
    <mergeCell ref="M84:N84"/>
    <mergeCell ref="I85:L85"/>
    <mergeCell ref="M85:N85"/>
    <mergeCell ref="B78:B85"/>
    <mergeCell ref="I79:L79"/>
    <mergeCell ref="M79:N79"/>
    <mergeCell ref="C78:H79"/>
    <mergeCell ref="C80:H81"/>
    <mergeCell ref="I80:L80"/>
    <mergeCell ref="M80:N80"/>
    <mergeCell ref="I81:L81"/>
    <mergeCell ref="M81:N81"/>
    <mergeCell ref="C82:H83"/>
    <mergeCell ref="I82:L82"/>
    <mergeCell ref="M82:N82"/>
    <mergeCell ref="I83:L83"/>
  </mergeCells>
  <conditionalFormatting sqref="M93:N151 M90:N90 M70:M85">
    <cfRule type="containsText" dxfId="13" priority="7" operator="containsText" text="Completed">
      <formula>NOT(ISERROR(SEARCH("Completed",M70)))</formula>
    </cfRule>
    <cfRule type="containsText" dxfId="12" priority="8" operator="containsText" text="In-Progress">
      <formula>NOT(ISERROR(SEARCH("In-Progress",M70)))</formula>
    </cfRule>
    <cfRule type="containsText" dxfId="11" priority="9" operator="containsText" text="Not Started">
      <formula>NOT(ISERROR(SEARCH("Not Started",M70)))</formula>
    </cfRule>
  </conditionalFormatting>
  <dataValidations count="6">
    <dataValidation type="list" allowBlank="1" showInputMessage="1" showErrorMessage="1" sqref="M162:N246 M93:N152" xr:uid="{DE909391-172A-494E-BEE3-12ECEF9265E1}">
      <formula1>"Not Started, In-Progress, Completed"</formula1>
    </dataValidation>
    <dataValidation type="list" allowBlank="1" showInputMessage="1" showErrorMessage="1" sqref="K93:L152 K162:L246" xr:uid="{15E85779-5957-4619-B6A0-41D001507598}">
      <formula1>"PI, ORA, PI &amp; ORA"</formula1>
    </dataValidation>
    <dataValidation type="list" allowBlank="1" showInputMessage="1" showErrorMessage="1" sqref="C42:F42" xr:uid="{6BF382D5-CD29-402F-9B90-C027F2084484}">
      <formula1>"Research (On-Campus), Research (Off-Campus), No F&amp;A, Training Rate, Custom Rate - Enter Rate Here -----------&gt;"</formula1>
    </dataValidation>
    <dataValidation allowBlank="1" showInputMessage="1" showErrorMessage="1" sqref="C36:N36" xr:uid="{3CE9059B-D522-4830-B6DC-A4B8BD47906E}"/>
    <dataValidation type="list" allowBlank="1" showInputMessage="1" showErrorMessage="1" sqref="M70:N85" xr:uid="{E78E0A66-BCB0-4CD6-9380-D71D24775EAF}">
      <formula1>"N/A, Not Started, In-Progress, Completed"</formula1>
    </dataValidation>
    <dataValidation type="list" allowBlank="1" showInputMessage="1" showErrorMessage="1" sqref="M90:N90" xr:uid="{F0D714FF-C5F9-4C16-9945-CE40A216C053}">
      <formula1>"Not Started, In-Progress, Completed, N/A"</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W102"/>
  <sheetViews>
    <sheetView workbookViewId="0">
      <selection activeCell="F3" sqref="F3"/>
    </sheetView>
  </sheetViews>
  <sheetFormatPr defaultColWidth="16.7109375" defaultRowHeight="15"/>
  <cols>
    <col min="1" max="1" width="2.85546875" customWidth="1"/>
    <col min="2" max="2" width="44" customWidth="1"/>
    <col min="3" max="3" width="13" customWidth="1"/>
    <col min="4" max="4" width="17.42578125" customWidth="1"/>
    <col min="5" max="5" width="13.42578125" customWidth="1"/>
    <col min="6" max="6" width="14.28515625" customWidth="1"/>
    <col min="7" max="7" width="23" bestFit="1" customWidth="1"/>
    <col min="8" max="8" width="15" bestFit="1" customWidth="1"/>
    <col min="9" max="9" width="25.28515625" bestFit="1" customWidth="1"/>
    <col min="10" max="10" width="14.5703125" bestFit="1" customWidth="1"/>
    <col min="11" max="11" width="12.7109375" bestFit="1" customWidth="1"/>
    <col min="12" max="13" width="12.7109375" customWidth="1"/>
    <col min="14" max="14" width="11" style="5" customWidth="1"/>
    <col min="15" max="15" width="23.28515625" bestFit="1" customWidth="1"/>
    <col min="16" max="16" width="10" bestFit="1" customWidth="1"/>
    <col min="17" max="17" width="7.140625" bestFit="1" customWidth="1"/>
    <col min="18" max="18" width="11.7109375" bestFit="1" customWidth="1"/>
    <col min="19" max="19" width="26.140625" bestFit="1" customWidth="1"/>
    <col min="21" max="21" width="22.85546875" customWidth="1"/>
  </cols>
  <sheetData>
    <row r="1" spans="2:23" ht="15.75" thickBot="1"/>
    <row r="2" spans="2:23" ht="16.5" thickBot="1">
      <c r="B2" s="701" t="s">
        <v>313</v>
      </c>
      <c r="C2" s="110" t="s">
        <v>314</v>
      </c>
      <c r="D2" s="702" t="s">
        <v>315</v>
      </c>
      <c r="F2" s="1362" t="s">
        <v>316</v>
      </c>
      <c r="G2" s="1363"/>
      <c r="H2" s="703"/>
      <c r="I2" s="703"/>
      <c r="U2" s="1358" t="s">
        <v>317</v>
      </c>
      <c r="V2" s="1359"/>
      <c r="W2" s="1360"/>
    </row>
    <row r="3" spans="2:23" ht="15.75" thickBot="1">
      <c r="B3" s="115" t="s">
        <v>318</v>
      </c>
      <c r="C3" s="107">
        <v>10.1</v>
      </c>
      <c r="D3" s="111">
        <v>10.1</v>
      </c>
      <c r="F3" s="706">
        <v>0.625</v>
      </c>
      <c r="G3" s="707" t="s">
        <v>319</v>
      </c>
      <c r="U3" s="179" t="s">
        <v>320</v>
      </c>
      <c r="V3" s="177">
        <v>69</v>
      </c>
      <c r="W3" s="178">
        <v>138</v>
      </c>
    </row>
    <row r="4" spans="2:23">
      <c r="B4" s="115" t="s">
        <v>321</v>
      </c>
      <c r="C4" s="107">
        <v>13.3</v>
      </c>
      <c r="D4" s="111">
        <v>13.3</v>
      </c>
      <c r="U4" s="179" t="s">
        <v>322</v>
      </c>
      <c r="V4" s="177">
        <v>212</v>
      </c>
      <c r="W4" s="178">
        <v>424</v>
      </c>
    </row>
    <row r="5" spans="2:23">
      <c r="B5" s="115" t="s">
        <v>323</v>
      </c>
      <c r="C5" s="107">
        <v>23.1</v>
      </c>
      <c r="D5" s="111">
        <v>26.3</v>
      </c>
      <c r="U5" s="179" t="s">
        <v>324</v>
      </c>
      <c r="V5" s="177">
        <v>66</v>
      </c>
      <c r="W5" s="178">
        <v>132</v>
      </c>
    </row>
    <row r="6" spans="2:23" ht="16.5" thickBot="1">
      <c r="B6" s="112" t="s">
        <v>106</v>
      </c>
      <c r="C6" s="113">
        <f>SUM(C3:C5)</f>
        <v>46.5</v>
      </c>
      <c r="D6" s="114">
        <f>SUM(D3:D5)</f>
        <v>49.7</v>
      </c>
      <c r="U6" s="179" t="s">
        <v>325</v>
      </c>
      <c r="V6" s="177">
        <v>236</v>
      </c>
      <c r="W6" s="178">
        <v>472</v>
      </c>
    </row>
    <row r="7" spans="2:23">
      <c r="B7" s="708"/>
      <c r="C7" s="708"/>
      <c r="D7" s="708"/>
      <c r="E7" s="708"/>
      <c r="F7" s="708"/>
      <c r="U7" s="179" t="s">
        <v>326</v>
      </c>
      <c r="V7" s="177">
        <v>55</v>
      </c>
      <c r="W7" s="178">
        <v>110</v>
      </c>
    </row>
    <row r="8" spans="2:23">
      <c r="U8" s="179" t="s">
        <v>327</v>
      </c>
      <c r="V8" s="177">
        <v>150</v>
      </c>
      <c r="W8" s="178">
        <v>300</v>
      </c>
    </row>
    <row r="9" spans="2:23">
      <c r="B9" s="1361" t="s">
        <v>101</v>
      </c>
      <c r="C9" s="1361"/>
      <c r="D9" s="1361"/>
      <c r="E9" s="1361"/>
      <c r="F9" s="1361"/>
      <c r="G9" s="1361"/>
      <c r="H9" s="1361"/>
      <c r="I9" s="1361"/>
      <c r="J9" s="1361"/>
      <c r="K9" s="1361"/>
      <c r="L9" s="1361"/>
      <c r="M9" s="1361"/>
      <c r="N9" s="1361"/>
      <c r="O9" s="1361"/>
      <c r="P9" s="1361"/>
      <c r="Q9" s="1361"/>
      <c r="R9" s="1361"/>
      <c r="S9" s="1361"/>
      <c r="U9" s="179" t="s">
        <v>328</v>
      </c>
      <c r="V9" s="177">
        <v>20</v>
      </c>
      <c r="W9" s="178">
        <v>40</v>
      </c>
    </row>
    <row r="10" spans="2:23">
      <c r="B10" t="s">
        <v>191</v>
      </c>
      <c r="C10" t="s">
        <v>106</v>
      </c>
      <c r="D10" t="s">
        <v>329</v>
      </c>
      <c r="E10" t="s">
        <v>330</v>
      </c>
      <c r="F10" t="s">
        <v>331</v>
      </c>
      <c r="G10" t="s">
        <v>332</v>
      </c>
      <c r="H10" t="s">
        <v>333</v>
      </c>
      <c r="I10" t="s">
        <v>334</v>
      </c>
      <c r="J10" t="s">
        <v>335</v>
      </c>
      <c r="K10" t="s">
        <v>336</v>
      </c>
      <c r="L10" s="7" t="s">
        <v>337</v>
      </c>
      <c r="M10" s="7" t="s">
        <v>338</v>
      </c>
      <c r="N10" s="7" t="s">
        <v>339</v>
      </c>
      <c r="O10" t="s">
        <v>340</v>
      </c>
      <c r="P10" t="s">
        <v>341</v>
      </c>
      <c r="Q10" t="s">
        <v>342</v>
      </c>
      <c r="R10" t="s">
        <v>343</v>
      </c>
      <c r="S10" t="s">
        <v>344</v>
      </c>
      <c r="U10" s="179" t="s">
        <v>345</v>
      </c>
      <c r="V10" s="177">
        <v>142</v>
      </c>
      <c r="W10" s="178">
        <v>284</v>
      </c>
    </row>
    <row r="11" spans="2:23" s="19" customFormat="1">
      <c r="B11" s="22"/>
      <c r="C11" s="19">
        <f>(H11+K11+O11+Q11+R11+S11+P11)*F11</f>
        <v>0</v>
      </c>
      <c r="D11" s="22" t="s">
        <v>346</v>
      </c>
      <c r="E11" s="705">
        <v>0</v>
      </c>
      <c r="F11" s="187">
        <v>0</v>
      </c>
      <c r="G11" s="21">
        <f>IF(E11=0, 0, E11+2)</f>
        <v>0</v>
      </c>
      <c r="H11" s="19">
        <f>IF(D11="In-State", G11*$C$6, IF(D11="Out-of-State", G11*$D$6, ""))</f>
        <v>0</v>
      </c>
      <c r="I11" s="21">
        <f>IF(E11=0, 0, E11+2)</f>
        <v>0</v>
      </c>
      <c r="K11" s="19">
        <f>I11*J11</f>
        <v>0</v>
      </c>
      <c r="L11" s="183"/>
      <c r="N11" s="174" t="str">
        <f>IFERROR(INDEX($V$3:$W$102,MATCH(M11,$U$3:$U$102,0),MATCH(L11,#REF!,0)),"")</f>
        <v/>
      </c>
      <c r="O11" s="19">
        <f>IF(N11="",0,N11*0.625)</f>
        <v>0</v>
      </c>
      <c r="U11" s="179" t="s">
        <v>347</v>
      </c>
      <c r="V11" s="177">
        <v>71</v>
      </c>
      <c r="W11" s="178">
        <v>142</v>
      </c>
    </row>
    <row r="12" spans="2:23">
      <c r="B12" s="22"/>
      <c r="C12" s="19">
        <f t="shared" ref="C12:C14" si="0">(H12+K12+O12+Q12+R12+S12+P12)*F12</f>
        <v>0</v>
      </c>
      <c r="D12" s="22" t="s">
        <v>346</v>
      </c>
      <c r="E12" s="705">
        <v>0</v>
      </c>
      <c r="F12" s="187">
        <v>0</v>
      </c>
      <c r="G12" s="21">
        <f t="shared" ref="G12:G14" si="1">IF(E12=0, 0, E12+2)</f>
        <v>0</v>
      </c>
      <c r="H12" s="19">
        <f>IF(D12="In-State", G12*$C$6, IF(D12="Out-of-State", G12*$D$6, ""))</f>
        <v>0</v>
      </c>
      <c r="I12" s="21">
        <f t="shared" ref="I12:I14" si="2">IF(E12=0, 0, E12+2)</f>
        <v>0</v>
      </c>
      <c r="J12" s="19"/>
      <c r="K12" s="19">
        <f t="shared" ref="K12:K14" si="3">I12*J12</f>
        <v>0</v>
      </c>
      <c r="L12" s="183"/>
      <c r="M12" s="19"/>
      <c r="N12" s="174" t="str">
        <f>IFERROR(INDEX($V$3:$W$102,MATCH(M12,$U$3:$U$102,0),MATCH(L12,#REF!,0)),"")</f>
        <v/>
      </c>
      <c r="O12" s="19">
        <f t="shared" ref="O12:O14" si="4">IF(N12="",0,N12*0.625)</f>
        <v>0</v>
      </c>
      <c r="P12" s="19"/>
      <c r="Q12" s="19"/>
      <c r="R12" s="19"/>
      <c r="S12" s="19"/>
      <c r="U12" s="179" t="s">
        <v>348</v>
      </c>
      <c r="V12" s="177">
        <v>76</v>
      </c>
      <c r="W12" s="178">
        <v>152</v>
      </c>
    </row>
    <row r="13" spans="2:23">
      <c r="B13" s="22"/>
      <c r="C13" s="19">
        <f t="shared" si="0"/>
        <v>0</v>
      </c>
      <c r="D13" s="22" t="s">
        <v>346</v>
      </c>
      <c r="E13" s="705">
        <v>0</v>
      </c>
      <c r="F13" s="187">
        <v>0</v>
      </c>
      <c r="G13" s="21">
        <f t="shared" si="1"/>
        <v>0</v>
      </c>
      <c r="H13" s="19">
        <f>IF(D13="In-State", G13*$C$6, IF(D13="Out-of-State", G13*$D$6, ""))</f>
        <v>0</v>
      </c>
      <c r="I13" s="21">
        <f t="shared" si="2"/>
        <v>0</v>
      </c>
      <c r="J13" s="19"/>
      <c r="K13" s="19">
        <f t="shared" si="3"/>
        <v>0</v>
      </c>
      <c r="L13" s="183"/>
      <c r="M13" s="19"/>
      <c r="N13" s="174" t="str">
        <f>IFERROR(INDEX($V$3:$W$102,MATCH(M13,$U$3:$U$102,0),MATCH(L13,#REF!,0)),"")</f>
        <v/>
      </c>
      <c r="O13" s="19">
        <f t="shared" si="4"/>
        <v>0</v>
      </c>
      <c r="P13" s="19"/>
      <c r="Q13" s="19"/>
      <c r="R13" s="19"/>
      <c r="S13" s="19"/>
      <c r="U13" s="179" t="s">
        <v>349</v>
      </c>
      <c r="V13" s="177">
        <v>71</v>
      </c>
      <c r="W13" s="178">
        <v>142</v>
      </c>
    </row>
    <row r="14" spans="2:23">
      <c r="B14" s="22"/>
      <c r="C14" s="19">
        <f t="shared" si="0"/>
        <v>0</v>
      </c>
      <c r="D14" s="22" t="s">
        <v>346</v>
      </c>
      <c r="E14" s="705">
        <v>0</v>
      </c>
      <c r="F14" s="187">
        <v>0</v>
      </c>
      <c r="G14" s="21">
        <f t="shared" si="1"/>
        <v>0</v>
      </c>
      <c r="H14" s="19">
        <f>IF(D14="In-State", G14*$C$6, IF(D14="Out-of-State", G14*$D$6, ""))</f>
        <v>0</v>
      </c>
      <c r="I14" s="21">
        <f t="shared" si="2"/>
        <v>0</v>
      </c>
      <c r="J14" s="19"/>
      <c r="K14" s="19">
        <f t="shared" si="3"/>
        <v>0</v>
      </c>
      <c r="L14" s="183"/>
      <c r="M14" s="19"/>
      <c r="N14" s="174" t="str">
        <f>IFERROR(INDEX($V$3:$W$102,MATCH(M14,$U$3:$U$102,0),MATCH(L14,#REF!,0)),"")</f>
        <v/>
      </c>
      <c r="O14" s="19">
        <f t="shared" si="4"/>
        <v>0</v>
      </c>
      <c r="P14" s="19"/>
      <c r="Q14" s="19"/>
      <c r="R14" s="19"/>
      <c r="S14" s="19"/>
      <c r="U14" s="179" t="s">
        <v>350</v>
      </c>
      <c r="V14" s="177">
        <v>141</v>
      </c>
      <c r="W14" s="178">
        <v>282</v>
      </c>
    </row>
    <row r="15" spans="2:23">
      <c r="B15" s="22"/>
      <c r="C15" s="19"/>
      <c r="D15" s="22"/>
      <c r="E15" s="22"/>
      <c r="F15" s="19"/>
      <c r="G15" s="21"/>
      <c r="H15" s="19"/>
      <c r="I15" s="21"/>
      <c r="J15" s="19"/>
      <c r="K15" s="19"/>
      <c r="L15" s="19"/>
      <c r="M15" s="19"/>
      <c r="N15" s="174"/>
      <c r="O15" s="19"/>
      <c r="P15" s="19"/>
      <c r="Q15" s="19"/>
      <c r="R15" s="19"/>
      <c r="S15" s="19"/>
      <c r="U15" s="179" t="s">
        <v>351</v>
      </c>
      <c r="V15" s="177">
        <v>159</v>
      </c>
      <c r="W15" s="178">
        <v>300</v>
      </c>
    </row>
    <row r="16" spans="2:23">
      <c r="B16" s="105" t="s">
        <v>352</v>
      </c>
      <c r="C16" s="106">
        <f>SUM(C11:C15)</f>
        <v>0</v>
      </c>
      <c r="D16" s="704"/>
      <c r="E16" s="704"/>
      <c r="F16" s="704"/>
      <c r="U16" s="179" t="s">
        <v>353</v>
      </c>
      <c r="V16" s="177">
        <v>89</v>
      </c>
      <c r="W16" s="178">
        <v>178</v>
      </c>
    </row>
    <row r="17" spans="2:23">
      <c r="U17" s="179" t="s">
        <v>354</v>
      </c>
      <c r="V17" s="177">
        <v>28</v>
      </c>
      <c r="W17" s="178">
        <v>56</v>
      </c>
    </row>
    <row r="18" spans="2:23">
      <c r="B18" s="1361" t="s">
        <v>102</v>
      </c>
      <c r="C18" s="1361"/>
      <c r="D18" s="1361"/>
      <c r="E18" s="1361"/>
      <c r="F18" s="1361"/>
      <c r="G18" s="1361"/>
      <c r="H18" s="1361"/>
      <c r="I18" s="1361"/>
      <c r="J18" s="1361"/>
      <c r="K18" s="1361"/>
      <c r="L18" s="1361"/>
      <c r="M18" s="1361"/>
      <c r="N18" s="1361"/>
      <c r="O18" s="1361"/>
      <c r="P18" s="1361"/>
      <c r="Q18" s="1361"/>
      <c r="R18" s="1361"/>
      <c r="S18" s="1361"/>
      <c r="U18" s="179" t="s">
        <v>355</v>
      </c>
      <c r="V18" s="177">
        <v>255</v>
      </c>
      <c r="W18" s="178">
        <v>510</v>
      </c>
    </row>
    <row r="19" spans="2:23">
      <c r="B19" t="s">
        <v>191</v>
      </c>
      <c r="C19" t="s">
        <v>106</v>
      </c>
      <c r="D19" t="s">
        <v>329</v>
      </c>
      <c r="E19" t="s">
        <v>330</v>
      </c>
      <c r="F19" t="s">
        <v>331</v>
      </c>
      <c r="G19" t="s">
        <v>332</v>
      </c>
      <c r="H19" t="s">
        <v>333</v>
      </c>
      <c r="I19" t="s">
        <v>334</v>
      </c>
      <c r="J19" t="s">
        <v>335</v>
      </c>
      <c r="K19" t="s">
        <v>336</v>
      </c>
      <c r="L19" s="7" t="s">
        <v>337</v>
      </c>
      <c r="M19" s="7" t="s">
        <v>338</v>
      </c>
      <c r="N19" s="7" t="s">
        <v>339</v>
      </c>
      <c r="O19" t="s">
        <v>340</v>
      </c>
      <c r="P19" t="s">
        <v>341</v>
      </c>
      <c r="Q19" t="s">
        <v>342</v>
      </c>
      <c r="R19" t="s">
        <v>343</v>
      </c>
      <c r="S19" t="s">
        <v>344</v>
      </c>
      <c r="U19" s="179" t="s">
        <v>345</v>
      </c>
      <c r="V19" s="177">
        <v>142</v>
      </c>
      <c r="W19" s="178">
        <v>284</v>
      </c>
    </row>
    <row r="20" spans="2:23" s="19" customFormat="1">
      <c r="B20" s="22"/>
      <c r="C20" s="19">
        <f>(H20+K20+O20+Q20+R20+S20+P20)*F20</f>
        <v>0</v>
      </c>
      <c r="D20" s="22" t="s">
        <v>346</v>
      </c>
      <c r="E20" s="705">
        <v>0</v>
      </c>
      <c r="F20" s="187">
        <v>0</v>
      </c>
      <c r="G20" s="21">
        <f>IF(E20=0, 0, E20+2)</f>
        <v>0</v>
      </c>
      <c r="H20" s="19">
        <f>IF(D20="In-State", G20*$C$6, IF(D20="Out-of-State", G20*$D$6, ""))</f>
        <v>0</v>
      </c>
      <c r="I20" s="21">
        <f>IF(E20=0, 0, E20+2)</f>
        <v>0</v>
      </c>
      <c r="K20" s="19">
        <f>I20*J20</f>
        <v>0</v>
      </c>
      <c r="L20" s="183"/>
      <c r="N20" s="174" t="str">
        <f>IFERROR(INDEX($V$3:$W$102,MATCH(M20,$U$3:$U$102,0),MATCH(L20,#REF!,0)),"")</f>
        <v/>
      </c>
      <c r="O20" s="19">
        <f>IF(N20="",0,N20*0.625)</f>
        <v>0</v>
      </c>
      <c r="U20" s="179" t="s">
        <v>347</v>
      </c>
      <c r="V20" s="177">
        <v>71</v>
      </c>
      <c r="W20" s="178">
        <v>142</v>
      </c>
    </row>
    <row r="21" spans="2:23">
      <c r="B21" s="22"/>
      <c r="C21" s="19">
        <f t="shared" ref="C21:C23" si="5">(H21+K21+O21+Q21+R21+S21+P21)*F21</f>
        <v>0</v>
      </c>
      <c r="D21" s="22" t="s">
        <v>346</v>
      </c>
      <c r="E21" s="705">
        <v>0</v>
      </c>
      <c r="F21" s="187">
        <v>0</v>
      </c>
      <c r="G21" s="21">
        <f t="shared" ref="G21:G23" si="6">IF(E21=0, 0, E21+2)</f>
        <v>0</v>
      </c>
      <c r="H21" s="19">
        <f>IF(D21="In-State", G21*$C$6, IF(D21="Out-of-State", G21*$D$6, ""))</f>
        <v>0</v>
      </c>
      <c r="I21" s="21">
        <f t="shared" ref="I21:I23" si="7">IF(E21=0, 0, E21+2)</f>
        <v>0</v>
      </c>
      <c r="J21" s="19"/>
      <c r="K21" s="19">
        <f t="shared" ref="K21:K23" si="8">I21*J21</f>
        <v>0</v>
      </c>
      <c r="L21" s="183"/>
      <c r="M21" s="19"/>
      <c r="N21" s="174" t="str">
        <f>IFERROR(INDEX($V$3:$W$102,MATCH(M21,$U$3:$U$102,0),MATCH(L21,#REF!,0)),"")</f>
        <v/>
      </c>
      <c r="O21" s="19">
        <f t="shared" ref="O21:O23" si="9">IF(N21="",0,N21*0.625)</f>
        <v>0</v>
      </c>
      <c r="P21" s="19"/>
      <c r="Q21" s="19"/>
      <c r="R21" s="19"/>
      <c r="S21" s="19"/>
      <c r="U21" s="179" t="s">
        <v>348</v>
      </c>
      <c r="V21" s="177">
        <v>76</v>
      </c>
      <c r="W21" s="178">
        <v>152</v>
      </c>
    </row>
    <row r="22" spans="2:23">
      <c r="B22" s="22"/>
      <c r="C22" s="19">
        <f t="shared" si="5"/>
        <v>0</v>
      </c>
      <c r="D22" s="22" t="s">
        <v>346</v>
      </c>
      <c r="E22" s="705">
        <v>0</v>
      </c>
      <c r="F22" s="187">
        <v>0</v>
      </c>
      <c r="G22" s="21">
        <f t="shared" si="6"/>
        <v>0</v>
      </c>
      <c r="H22" s="19">
        <f>IF(D22="In-State", G22*$C$6, IF(D22="Out-of-State", G22*$D$6, ""))</f>
        <v>0</v>
      </c>
      <c r="I22" s="21">
        <f t="shared" si="7"/>
        <v>0</v>
      </c>
      <c r="J22" s="19"/>
      <c r="K22" s="19">
        <f t="shared" si="8"/>
        <v>0</v>
      </c>
      <c r="L22" s="183"/>
      <c r="M22" s="19"/>
      <c r="N22" s="174" t="str">
        <f>IFERROR(INDEX($V$3:$W$102,MATCH(M22,$U$3:$U$102,0),MATCH(L22,#REF!,0)),"")</f>
        <v/>
      </c>
      <c r="O22" s="19">
        <f t="shared" si="9"/>
        <v>0</v>
      </c>
      <c r="P22" s="19"/>
      <c r="Q22" s="19"/>
      <c r="R22" s="19"/>
      <c r="S22" s="19"/>
      <c r="U22" s="179" t="s">
        <v>349</v>
      </c>
      <c r="V22" s="177">
        <v>71</v>
      </c>
      <c r="W22" s="178">
        <v>142</v>
      </c>
    </row>
    <row r="23" spans="2:23">
      <c r="B23" s="22"/>
      <c r="C23" s="19">
        <f t="shared" si="5"/>
        <v>0</v>
      </c>
      <c r="D23" s="22" t="s">
        <v>346</v>
      </c>
      <c r="E23" s="705">
        <v>0</v>
      </c>
      <c r="F23" s="187">
        <v>0</v>
      </c>
      <c r="G23" s="21">
        <f t="shared" si="6"/>
        <v>0</v>
      </c>
      <c r="H23" s="19">
        <f>IF(D23="In-State", G23*$C$6, IF(D23="Out-of-State", G23*$D$6, ""))</f>
        <v>0</v>
      </c>
      <c r="I23" s="21">
        <f t="shared" si="7"/>
        <v>0</v>
      </c>
      <c r="J23" s="19"/>
      <c r="K23" s="19">
        <f t="shared" si="8"/>
        <v>0</v>
      </c>
      <c r="L23" s="183"/>
      <c r="M23" s="19"/>
      <c r="N23" s="174" t="str">
        <f>IFERROR(INDEX($V$3:$W$102,MATCH(M23,$U$3:$U$102,0),MATCH(L23,#REF!,0)),"")</f>
        <v/>
      </c>
      <c r="O23" s="19">
        <f t="shared" si="9"/>
        <v>0</v>
      </c>
      <c r="P23" s="19"/>
      <c r="Q23" s="19"/>
      <c r="R23" s="19"/>
      <c r="S23" s="19"/>
      <c r="U23" s="179" t="s">
        <v>350</v>
      </c>
      <c r="V23" s="177">
        <v>141</v>
      </c>
      <c r="W23" s="178">
        <v>282</v>
      </c>
    </row>
    <row r="24" spans="2:23">
      <c r="U24" s="179" t="s">
        <v>356</v>
      </c>
      <c r="V24" s="177">
        <v>177</v>
      </c>
      <c r="W24" s="178">
        <v>354</v>
      </c>
    </row>
    <row r="25" spans="2:23">
      <c r="B25" s="105" t="s">
        <v>357</v>
      </c>
      <c r="C25" s="106">
        <f>SUM(C20:C24)</f>
        <v>0</v>
      </c>
      <c r="D25" s="704"/>
      <c r="E25" s="704"/>
      <c r="F25" s="704"/>
      <c r="U25" s="179" t="s">
        <v>358</v>
      </c>
      <c r="V25" s="177">
        <v>70</v>
      </c>
      <c r="W25" s="178">
        <v>140</v>
      </c>
    </row>
    <row r="26" spans="2:23">
      <c r="U26" s="179" t="s">
        <v>359</v>
      </c>
      <c r="V26" s="177">
        <v>30</v>
      </c>
      <c r="W26" s="178">
        <v>60</v>
      </c>
    </row>
    <row r="27" spans="2:23">
      <c r="B27" s="1361" t="s">
        <v>103</v>
      </c>
      <c r="C27" s="1361"/>
      <c r="D27" s="1361"/>
      <c r="E27" s="1361"/>
      <c r="F27" s="1361"/>
      <c r="G27" s="1361"/>
      <c r="H27" s="1361"/>
      <c r="I27" s="1361"/>
      <c r="J27" s="1361"/>
      <c r="K27" s="1361"/>
      <c r="L27" s="1361"/>
      <c r="M27" s="1361"/>
      <c r="N27" s="1361"/>
      <c r="O27" s="1361"/>
      <c r="P27" s="1361"/>
      <c r="Q27" s="1361"/>
      <c r="R27" s="1361"/>
      <c r="S27" s="1361"/>
      <c r="U27" s="179" t="s">
        <v>360</v>
      </c>
      <c r="V27" s="177">
        <v>28</v>
      </c>
      <c r="W27" s="178">
        <v>56</v>
      </c>
    </row>
    <row r="28" spans="2:23">
      <c r="B28" t="s">
        <v>191</v>
      </c>
      <c r="C28" t="s">
        <v>106</v>
      </c>
      <c r="D28" t="s">
        <v>329</v>
      </c>
      <c r="E28" t="s">
        <v>330</v>
      </c>
      <c r="F28" t="s">
        <v>331</v>
      </c>
      <c r="G28" t="s">
        <v>332</v>
      </c>
      <c r="H28" t="s">
        <v>333</v>
      </c>
      <c r="I28" t="s">
        <v>334</v>
      </c>
      <c r="J28" t="s">
        <v>335</v>
      </c>
      <c r="K28" t="s">
        <v>336</v>
      </c>
      <c r="L28" s="7" t="s">
        <v>337</v>
      </c>
      <c r="M28" s="7" t="s">
        <v>338</v>
      </c>
      <c r="N28" s="7" t="s">
        <v>339</v>
      </c>
      <c r="O28" t="s">
        <v>340</v>
      </c>
      <c r="P28" t="s">
        <v>341</v>
      </c>
      <c r="Q28" t="s">
        <v>342</v>
      </c>
      <c r="R28" t="s">
        <v>343</v>
      </c>
      <c r="S28" t="s">
        <v>344</v>
      </c>
      <c r="U28" s="179" t="s">
        <v>345</v>
      </c>
      <c r="V28" s="177">
        <v>142</v>
      </c>
      <c r="W28" s="178">
        <v>284</v>
      </c>
    </row>
    <row r="29" spans="2:23" s="19" customFormat="1">
      <c r="B29" s="22"/>
      <c r="C29" s="19">
        <f>(H29+K29+O29+Q29+R29+S29+P29)*F29</f>
        <v>0</v>
      </c>
      <c r="D29" s="22" t="s">
        <v>346</v>
      </c>
      <c r="E29" s="705">
        <v>0</v>
      </c>
      <c r="F29" s="187">
        <v>0</v>
      </c>
      <c r="G29" s="21">
        <f>IF(E29=0, 0, E29+2)</f>
        <v>0</v>
      </c>
      <c r="H29" s="19">
        <f>IF(D29="In-State", G29*$C$6, IF(D29="Out-of-State", G29*$D$6, ""))</f>
        <v>0</v>
      </c>
      <c r="I29" s="21">
        <f>IF(E29=0, 0, E29+2)</f>
        <v>0</v>
      </c>
      <c r="K29" s="19">
        <f>I29*J29</f>
        <v>0</v>
      </c>
      <c r="L29" s="183"/>
      <c r="N29" s="174" t="str">
        <f>IFERROR(INDEX($V$3:$W$102,MATCH(M29,$U$3:$U$102,0),MATCH(L29,#REF!,0)),"")</f>
        <v/>
      </c>
      <c r="O29" s="19">
        <f>IF(N29="",0,N29*0.625)</f>
        <v>0</v>
      </c>
      <c r="U29" s="179" t="s">
        <v>347</v>
      </c>
      <c r="V29" s="177">
        <v>71</v>
      </c>
      <c r="W29" s="178">
        <v>142</v>
      </c>
    </row>
    <row r="30" spans="2:23">
      <c r="B30" s="22"/>
      <c r="C30" s="19">
        <f t="shared" ref="C30:C32" si="10">(H30+K30+O30+Q30+R30+S30+P30)*F30</f>
        <v>0</v>
      </c>
      <c r="D30" s="22" t="s">
        <v>346</v>
      </c>
      <c r="E30" s="705">
        <v>0</v>
      </c>
      <c r="F30" s="187">
        <v>0</v>
      </c>
      <c r="G30" s="21">
        <f t="shared" ref="G30:G32" si="11">IF(E30=0, 0, E30+2)</f>
        <v>0</v>
      </c>
      <c r="H30" s="19">
        <f>IF(D30="In-State", G30*$C$6, IF(D30="Out-of-State", G30*$D$6, ""))</f>
        <v>0</v>
      </c>
      <c r="I30" s="21">
        <f t="shared" ref="I30:I32" si="12">IF(E30=0, 0, E30+2)</f>
        <v>0</v>
      </c>
      <c r="J30" s="19"/>
      <c r="K30" s="19">
        <f t="shared" ref="K30:K32" si="13">I30*J30</f>
        <v>0</v>
      </c>
      <c r="L30" s="183"/>
      <c r="M30" s="19"/>
      <c r="N30" s="174" t="str">
        <f>IFERROR(INDEX($V$3:$W$102,MATCH(M30,$U$3:$U$102,0),MATCH(L30,#REF!,0)),"")</f>
        <v/>
      </c>
      <c r="O30" s="19">
        <f t="shared" ref="O30:O32" si="14">IF(N30="",0,N30*0.625)</f>
        <v>0</v>
      </c>
      <c r="P30" s="19"/>
      <c r="Q30" s="19"/>
      <c r="R30" s="19"/>
      <c r="S30" s="19"/>
      <c r="U30" s="179" t="s">
        <v>348</v>
      </c>
      <c r="V30" s="177">
        <v>76</v>
      </c>
      <c r="W30" s="178">
        <v>152</v>
      </c>
    </row>
    <row r="31" spans="2:23">
      <c r="B31" s="22"/>
      <c r="C31" s="19">
        <f t="shared" si="10"/>
        <v>0</v>
      </c>
      <c r="D31" s="22" t="s">
        <v>346</v>
      </c>
      <c r="E31" s="705">
        <v>0</v>
      </c>
      <c r="F31" s="187">
        <v>0</v>
      </c>
      <c r="G31" s="21">
        <f t="shared" si="11"/>
        <v>0</v>
      </c>
      <c r="H31" s="19">
        <f>IF(D31="In-State", G31*$C$6, IF(D31="Out-of-State", G31*$D$6, ""))</f>
        <v>0</v>
      </c>
      <c r="I31" s="21">
        <f t="shared" si="12"/>
        <v>0</v>
      </c>
      <c r="J31" s="19"/>
      <c r="K31" s="19">
        <f t="shared" si="13"/>
        <v>0</v>
      </c>
      <c r="L31" s="183"/>
      <c r="M31" s="19"/>
      <c r="N31" s="174" t="str">
        <f>IFERROR(INDEX($V$3:$W$102,MATCH(M31,$U$3:$U$102,0),MATCH(L31,#REF!,0)),"")</f>
        <v/>
      </c>
      <c r="O31" s="19">
        <f t="shared" si="14"/>
        <v>0</v>
      </c>
      <c r="P31" s="19"/>
      <c r="Q31" s="19"/>
      <c r="R31" s="19"/>
      <c r="S31" s="19"/>
      <c r="U31" s="179" t="s">
        <v>349</v>
      </c>
      <c r="V31" s="177">
        <v>71</v>
      </c>
      <c r="W31" s="178">
        <v>142</v>
      </c>
    </row>
    <row r="32" spans="2:23">
      <c r="B32" s="22"/>
      <c r="C32" s="19">
        <f t="shared" si="10"/>
        <v>0</v>
      </c>
      <c r="D32" s="22" t="s">
        <v>346</v>
      </c>
      <c r="E32" s="705">
        <v>0</v>
      </c>
      <c r="F32" s="187">
        <v>0</v>
      </c>
      <c r="G32" s="21">
        <f t="shared" si="11"/>
        <v>0</v>
      </c>
      <c r="H32" s="19">
        <f>IF(D32="In-State", G32*$C$6, IF(D32="Out-of-State", G32*$D$6, ""))</f>
        <v>0</v>
      </c>
      <c r="I32" s="21">
        <f t="shared" si="12"/>
        <v>0</v>
      </c>
      <c r="J32" s="19"/>
      <c r="K32" s="19">
        <f t="shared" si="13"/>
        <v>0</v>
      </c>
      <c r="L32" s="183"/>
      <c r="M32" s="19"/>
      <c r="N32" s="174" t="str">
        <f>IFERROR(INDEX($V$3:$W$102,MATCH(M32,$U$3:$U$102,0),MATCH(L32,#REF!,0)),"")</f>
        <v/>
      </c>
      <c r="O32" s="19">
        <f t="shared" si="14"/>
        <v>0</v>
      </c>
      <c r="P32" s="19"/>
      <c r="Q32" s="19"/>
      <c r="R32" s="19"/>
      <c r="S32" s="19"/>
      <c r="U32" s="179" t="s">
        <v>350</v>
      </c>
      <c r="V32" s="177">
        <v>141</v>
      </c>
      <c r="W32" s="178">
        <v>282</v>
      </c>
    </row>
    <row r="33" spans="2:23">
      <c r="U33" s="179" t="s">
        <v>361</v>
      </c>
      <c r="V33" s="177">
        <v>311</v>
      </c>
      <c r="W33" s="178">
        <v>622</v>
      </c>
    </row>
    <row r="34" spans="2:23">
      <c r="B34" s="105" t="s">
        <v>362</v>
      </c>
      <c r="C34" s="106">
        <f>SUM(C29:C33)</f>
        <v>0</v>
      </c>
      <c r="D34" s="704"/>
      <c r="E34" s="704"/>
      <c r="F34" s="704"/>
      <c r="U34" s="179" t="s">
        <v>363</v>
      </c>
      <c r="V34" s="177">
        <v>67</v>
      </c>
      <c r="W34" s="178">
        <v>134</v>
      </c>
    </row>
    <row r="35" spans="2:23">
      <c r="U35" s="179" t="s">
        <v>364</v>
      </c>
      <c r="V35" s="177">
        <v>50</v>
      </c>
      <c r="W35" s="178">
        <v>100</v>
      </c>
    </row>
    <row r="36" spans="2:23">
      <c r="B36" s="1361" t="s">
        <v>104</v>
      </c>
      <c r="C36" s="1361"/>
      <c r="D36" s="1361"/>
      <c r="E36" s="1361"/>
      <c r="F36" s="1361"/>
      <c r="G36" s="1361"/>
      <c r="H36" s="1361"/>
      <c r="I36" s="1361"/>
      <c r="J36" s="1361"/>
      <c r="K36" s="1361"/>
      <c r="L36" s="1361"/>
      <c r="M36" s="1361"/>
      <c r="N36" s="1361"/>
      <c r="O36" s="1361"/>
      <c r="P36" s="1361"/>
      <c r="Q36" s="1361"/>
      <c r="R36" s="1361"/>
      <c r="S36" s="1361"/>
      <c r="U36" s="179" t="s">
        <v>365</v>
      </c>
      <c r="V36" s="177">
        <v>28</v>
      </c>
      <c r="W36" s="178">
        <v>56</v>
      </c>
    </row>
    <row r="37" spans="2:23">
      <c r="B37" t="s">
        <v>191</v>
      </c>
      <c r="C37" t="s">
        <v>106</v>
      </c>
      <c r="D37" t="s">
        <v>329</v>
      </c>
      <c r="E37" t="s">
        <v>330</v>
      </c>
      <c r="F37" t="s">
        <v>331</v>
      </c>
      <c r="G37" t="s">
        <v>332</v>
      </c>
      <c r="H37" t="s">
        <v>333</v>
      </c>
      <c r="I37" t="s">
        <v>334</v>
      </c>
      <c r="J37" t="s">
        <v>335</v>
      </c>
      <c r="K37" t="s">
        <v>336</v>
      </c>
      <c r="L37" s="7" t="s">
        <v>337</v>
      </c>
      <c r="M37" s="7" t="s">
        <v>338</v>
      </c>
      <c r="N37" s="7" t="s">
        <v>339</v>
      </c>
      <c r="O37" t="s">
        <v>340</v>
      </c>
      <c r="P37" t="s">
        <v>341</v>
      </c>
      <c r="Q37" t="s">
        <v>342</v>
      </c>
      <c r="R37" t="s">
        <v>343</v>
      </c>
      <c r="S37" t="s">
        <v>344</v>
      </c>
      <c r="U37" s="179" t="s">
        <v>345</v>
      </c>
      <c r="V37" s="177">
        <v>142</v>
      </c>
      <c r="W37" s="178">
        <v>284</v>
      </c>
    </row>
    <row r="38" spans="2:23" s="19" customFormat="1">
      <c r="B38" s="22"/>
      <c r="C38" s="19">
        <f>(H38+K38+O38+Q38+R38+S38+P38)*F38</f>
        <v>0</v>
      </c>
      <c r="D38" s="22" t="s">
        <v>346</v>
      </c>
      <c r="E38" s="705">
        <v>0</v>
      </c>
      <c r="F38" s="187">
        <v>0</v>
      </c>
      <c r="G38" s="21">
        <f>IF(E38=0, 0, E38+2)</f>
        <v>0</v>
      </c>
      <c r="H38" s="19">
        <f>IF(D38="In-State", G38*$C$6, IF(D38="Out-of-State", G38*$D$6, ""))</f>
        <v>0</v>
      </c>
      <c r="I38" s="21">
        <f>IF(E38=0, 0, E38+2)</f>
        <v>0</v>
      </c>
      <c r="K38" s="19">
        <f>I38*J38</f>
        <v>0</v>
      </c>
      <c r="L38" s="183"/>
      <c r="N38" s="174" t="str">
        <f>IFERROR(INDEX($V$3:$W$102,MATCH(M38,$U$3:$U$102,0),MATCH(L38,#REF!,0)),"")</f>
        <v/>
      </c>
      <c r="O38" s="19">
        <f>IF(N38="",0,N38*0.625)</f>
        <v>0</v>
      </c>
      <c r="U38" s="179" t="s">
        <v>347</v>
      </c>
      <c r="V38" s="177">
        <v>71</v>
      </c>
      <c r="W38" s="178">
        <v>142</v>
      </c>
    </row>
    <row r="39" spans="2:23">
      <c r="B39" s="22"/>
      <c r="C39" s="19">
        <f t="shared" ref="C39:C41" si="15">(H39+K39+O39+Q39+R39+S39+P39)*F39</f>
        <v>0</v>
      </c>
      <c r="D39" s="22" t="s">
        <v>346</v>
      </c>
      <c r="E39" s="705">
        <v>0</v>
      </c>
      <c r="F39" s="187">
        <v>0</v>
      </c>
      <c r="G39" s="21">
        <f t="shared" ref="G39:G41" si="16">IF(E39=0, 0, E39+2)</f>
        <v>0</v>
      </c>
      <c r="H39" s="19">
        <f>IF(D39="In-State", G39*$C$6, IF(D39="Out-of-State", G39*$D$6, ""))</f>
        <v>0</v>
      </c>
      <c r="I39" s="21">
        <f t="shared" ref="I39:I41" si="17">IF(E39=0, 0, E39+2)</f>
        <v>0</v>
      </c>
      <c r="J39" s="19"/>
      <c r="K39" s="19">
        <f t="shared" ref="K39:K41" si="18">I39*J39</f>
        <v>0</v>
      </c>
      <c r="L39" s="183"/>
      <c r="M39" s="19"/>
      <c r="N39" s="174" t="str">
        <f>IFERROR(INDEX($V$3:$W$102,MATCH(M39,$U$3:$U$102,0),MATCH(L39,#REF!,0)),"")</f>
        <v/>
      </c>
      <c r="O39" s="19">
        <f t="shared" ref="O39:O41" si="19">IF(N39="",0,N39*0.625)</f>
        <v>0</v>
      </c>
      <c r="P39" s="19"/>
      <c r="Q39" s="19"/>
      <c r="R39" s="19"/>
      <c r="S39" s="19"/>
      <c r="U39" s="179" t="s">
        <v>348</v>
      </c>
      <c r="V39" s="177">
        <v>76</v>
      </c>
      <c r="W39" s="178">
        <v>152</v>
      </c>
    </row>
    <row r="40" spans="2:23">
      <c r="B40" s="22"/>
      <c r="C40" s="19">
        <f t="shared" si="15"/>
        <v>0</v>
      </c>
      <c r="D40" s="22" t="s">
        <v>346</v>
      </c>
      <c r="E40" s="705">
        <v>0</v>
      </c>
      <c r="F40" s="187">
        <v>0</v>
      </c>
      <c r="G40" s="21">
        <f t="shared" si="16"/>
        <v>0</v>
      </c>
      <c r="H40" s="19">
        <f>IF(D40="In-State", G40*$C$6, IF(D40="Out-of-State", G40*$D$6, ""))</f>
        <v>0</v>
      </c>
      <c r="I40" s="21">
        <f t="shared" si="17"/>
        <v>0</v>
      </c>
      <c r="J40" s="19"/>
      <c r="K40" s="19">
        <f t="shared" si="18"/>
        <v>0</v>
      </c>
      <c r="L40" s="183"/>
      <c r="M40" s="19"/>
      <c r="N40" s="174" t="str">
        <f>IFERROR(INDEX($V$3:$W$102,MATCH(M40,$U$3:$U$102,0),MATCH(L40,#REF!,0)),"")</f>
        <v/>
      </c>
      <c r="O40" s="19">
        <f t="shared" si="19"/>
        <v>0</v>
      </c>
      <c r="P40" s="19"/>
      <c r="Q40" s="19"/>
      <c r="R40" s="19"/>
      <c r="S40" s="19"/>
      <c r="U40" s="179" t="s">
        <v>349</v>
      </c>
      <c r="V40" s="177">
        <v>71</v>
      </c>
      <c r="W40" s="178">
        <v>142</v>
      </c>
    </row>
    <row r="41" spans="2:23">
      <c r="B41" s="22"/>
      <c r="C41" s="19">
        <f t="shared" si="15"/>
        <v>0</v>
      </c>
      <c r="D41" s="22" t="s">
        <v>346</v>
      </c>
      <c r="E41" s="705">
        <v>0</v>
      </c>
      <c r="F41" s="187">
        <v>0</v>
      </c>
      <c r="G41" s="21">
        <f t="shared" si="16"/>
        <v>0</v>
      </c>
      <c r="H41" s="19">
        <f>IF(D41="In-State", G41*$C$6, IF(D41="Out-of-State", G41*$D$6, ""))</f>
        <v>0</v>
      </c>
      <c r="I41" s="21">
        <f t="shared" si="17"/>
        <v>0</v>
      </c>
      <c r="J41" s="19"/>
      <c r="K41" s="19">
        <f t="shared" si="18"/>
        <v>0</v>
      </c>
      <c r="L41" s="183"/>
      <c r="M41" s="19"/>
      <c r="N41" s="174" t="str">
        <f>IFERROR(INDEX($V$3:$W$102,MATCH(M41,$U$3:$U$102,0),MATCH(L41,#REF!,0)),"")</f>
        <v/>
      </c>
      <c r="O41" s="19">
        <f t="shared" si="19"/>
        <v>0</v>
      </c>
      <c r="P41" s="19"/>
      <c r="Q41" s="19"/>
      <c r="R41" s="19"/>
      <c r="S41" s="19"/>
      <c r="U41" s="179" t="s">
        <v>350</v>
      </c>
      <c r="V41" s="177">
        <v>141</v>
      </c>
      <c r="W41" s="178">
        <v>282</v>
      </c>
    </row>
    <row r="42" spans="2:23">
      <c r="U42" s="179" t="s">
        <v>366</v>
      </c>
      <c r="V42" s="177">
        <v>110</v>
      </c>
      <c r="W42" s="178">
        <v>220</v>
      </c>
    </row>
    <row r="43" spans="2:23">
      <c r="B43" s="105" t="s">
        <v>367</v>
      </c>
      <c r="C43" s="106">
        <f>SUM(C38:C42)</f>
        <v>0</v>
      </c>
      <c r="D43" s="704"/>
      <c r="E43" s="704"/>
      <c r="F43" s="704"/>
      <c r="U43" s="179" t="s">
        <v>368</v>
      </c>
      <c r="V43" s="177">
        <v>336</v>
      </c>
      <c r="W43" s="178">
        <v>672</v>
      </c>
    </row>
    <row r="44" spans="2:23">
      <c r="U44" s="179" t="s">
        <v>369</v>
      </c>
      <c r="V44" s="177">
        <v>77</v>
      </c>
      <c r="W44" s="178">
        <v>154</v>
      </c>
    </row>
    <row r="45" spans="2:23">
      <c r="B45" s="1361" t="s">
        <v>105</v>
      </c>
      <c r="C45" s="1361"/>
      <c r="D45" s="1361"/>
      <c r="E45" s="1361"/>
      <c r="F45" s="1361"/>
      <c r="G45" s="1361"/>
      <c r="H45" s="1361"/>
      <c r="I45" s="1361"/>
      <c r="J45" s="1361"/>
      <c r="K45" s="1361"/>
      <c r="L45" s="1361"/>
      <c r="M45" s="1361"/>
      <c r="N45" s="1361"/>
      <c r="O45" s="1361"/>
      <c r="P45" s="1361"/>
      <c r="Q45" s="1361"/>
      <c r="R45" s="1361"/>
      <c r="S45" s="1361"/>
      <c r="U45" s="179" t="s">
        <v>370</v>
      </c>
      <c r="V45" s="177">
        <v>100</v>
      </c>
      <c r="W45" s="178">
        <v>200</v>
      </c>
    </row>
    <row r="46" spans="2:23">
      <c r="B46" t="s">
        <v>191</v>
      </c>
      <c r="C46" t="s">
        <v>106</v>
      </c>
      <c r="D46" t="s">
        <v>329</v>
      </c>
      <c r="E46" t="s">
        <v>330</v>
      </c>
      <c r="F46" t="s">
        <v>331</v>
      </c>
      <c r="G46" t="s">
        <v>332</v>
      </c>
      <c r="H46" t="s">
        <v>333</v>
      </c>
      <c r="I46" t="s">
        <v>334</v>
      </c>
      <c r="J46" t="s">
        <v>335</v>
      </c>
      <c r="K46" t="s">
        <v>336</v>
      </c>
      <c r="L46" s="7" t="s">
        <v>337</v>
      </c>
      <c r="M46" s="7" t="s">
        <v>338</v>
      </c>
      <c r="N46" s="7" t="s">
        <v>339</v>
      </c>
      <c r="O46" t="s">
        <v>340</v>
      </c>
      <c r="P46" t="s">
        <v>341</v>
      </c>
      <c r="Q46" t="s">
        <v>342</v>
      </c>
      <c r="R46" t="s">
        <v>343</v>
      </c>
      <c r="S46" t="s">
        <v>344</v>
      </c>
      <c r="U46" s="179" t="s">
        <v>345</v>
      </c>
      <c r="V46" s="177">
        <v>142</v>
      </c>
      <c r="W46" s="178">
        <v>284</v>
      </c>
    </row>
    <row r="47" spans="2:23" s="19" customFormat="1">
      <c r="B47" s="22"/>
      <c r="C47" s="19">
        <f>(H47+K47+O47+Q47+R47+S47+P47)*F47</f>
        <v>0</v>
      </c>
      <c r="D47" s="22" t="s">
        <v>346</v>
      </c>
      <c r="E47" s="705">
        <v>0</v>
      </c>
      <c r="F47" s="187">
        <v>0</v>
      </c>
      <c r="G47" s="21">
        <f>IF(E47=0, 0, E47+2)</f>
        <v>0</v>
      </c>
      <c r="H47" s="19">
        <f>IF(D47="In-State", G47*$C$6, IF(D47="Out-of-State", G47*$D$6, ""))</f>
        <v>0</v>
      </c>
      <c r="I47" s="21">
        <f>IF(E47=0, 0, E47+2)</f>
        <v>0</v>
      </c>
      <c r="K47" s="19">
        <f>I47*J47</f>
        <v>0</v>
      </c>
      <c r="L47" s="183"/>
      <c r="N47" s="174" t="str">
        <f>IFERROR(INDEX($V$3:$W$102,MATCH(M47,$U$3:$U$102,0),MATCH(L47,#REF!,0)),"")</f>
        <v/>
      </c>
      <c r="O47" s="19">
        <f>IF(N47="",0,N47*0.625)</f>
        <v>0</v>
      </c>
      <c r="U47" s="179" t="s">
        <v>347</v>
      </c>
      <c r="V47" s="177">
        <v>71</v>
      </c>
      <c r="W47" s="178">
        <v>142</v>
      </c>
    </row>
    <row r="48" spans="2:23">
      <c r="B48" s="22"/>
      <c r="C48" s="19">
        <f t="shared" ref="C48:C50" si="20">(H48+K48+O48+Q48+R48+S48+P48)*F48</f>
        <v>0</v>
      </c>
      <c r="D48" s="22" t="s">
        <v>346</v>
      </c>
      <c r="E48" s="705">
        <v>0</v>
      </c>
      <c r="F48" s="187">
        <v>0</v>
      </c>
      <c r="G48" s="21">
        <f t="shared" ref="G48:G50" si="21">IF(E48=0, 0, E48+2)</f>
        <v>0</v>
      </c>
      <c r="H48" s="19">
        <f>IF(D48="In-State", G48*$C$6, IF(D48="Out-of-State", G48*$D$6, ""))</f>
        <v>0</v>
      </c>
      <c r="I48" s="21">
        <f t="shared" ref="I48:I50" si="22">IF(E48=0, 0, E48+2)</f>
        <v>0</v>
      </c>
      <c r="J48" s="19"/>
      <c r="K48" s="19">
        <f t="shared" ref="K48:K50" si="23">I48*J48</f>
        <v>0</v>
      </c>
      <c r="L48" s="183"/>
      <c r="M48" s="19"/>
      <c r="N48" s="174" t="str">
        <f>IFERROR(INDEX($V$3:$W$102,MATCH(M48,$U$3:$U$102,0),MATCH(L48,#REF!,0)),"")</f>
        <v/>
      </c>
      <c r="O48" s="19">
        <f t="shared" ref="O48:O50" si="24">IF(N48="",0,N48*0.625)</f>
        <v>0</v>
      </c>
      <c r="P48" s="19"/>
      <c r="Q48" s="19"/>
      <c r="R48" s="19"/>
      <c r="S48" s="19"/>
      <c r="U48" s="179" t="s">
        <v>348</v>
      </c>
      <c r="V48" s="177">
        <v>76</v>
      </c>
      <c r="W48" s="178">
        <v>152</v>
      </c>
    </row>
    <row r="49" spans="2:23">
      <c r="B49" s="22"/>
      <c r="C49" s="19">
        <f t="shared" si="20"/>
        <v>0</v>
      </c>
      <c r="D49" s="22" t="s">
        <v>346</v>
      </c>
      <c r="E49" s="705">
        <v>0</v>
      </c>
      <c r="F49" s="187">
        <v>0</v>
      </c>
      <c r="G49" s="21">
        <f t="shared" si="21"/>
        <v>0</v>
      </c>
      <c r="H49" s="19">
        <f>IF(D49="In-State", G49*$C$6, IF(D49="Out-of-State", G49*$D$6, ""))</f>
        <v>0</v>
      </c>
      <c r="I49" s="21">
        <f t="shared" si="22"/>
        <v>0</v>
      </c>
      <c r="J49" s="19"/>
      <c r="K49" s="19">
        <f t="shared" si="23"/>
        <v>0</v>
      </c>
      <c r="L49" s="183"/>
      <c r="M49" s="19"/>
      <c r="N49" s="174" t="str">
        <f>IFERROR(INDEX($V$3:$W$102,MATCH(M49,$U$3:$U$102,0),MATCH(L49,#REF!,0)),"")</f>
        <v/>
      </c>
      <c r="O49" s="19">
        <f t="shared" si="24"/>
        <v>0</v>
      </c>
      <c r="P49" s="19"/>
      <c r="Q49" s="19"/>
      <c r="R49" s="19"/>
      <c r="S49" s="19"/>
      <c r="U49" s="179" t="s">
        <v>349</v>
      </c>
      <c r="V49" s="177">
        <v>71</v>
      </c>
      <c r="W49" s="178">
        <v>142</v>
      </c>
    </row>
    <row r="50" spans="2:23">
      <c r="B50" s="22"/>
      <c r="C50" s="19">
        <f t="shared" si="20"/>
        <v>0</v>
      </c>
      <c r="D50" s="22" t="s">
        <v>346</v>
      </c>
      <c r="E50" s="705">
        <v>0</v>
      </c>
      <c r="F50" s="187">
        <v>0</v>
      </c>
      <c r="G50" s="21">
        <f t="shared" si="21"/>
        <v>0</v>
      </c>
      <c r="H50" s="19">
        <f>IF(D50="In-State", G50*$C$6, IF(D50="Out-of-State", G50*$D$6, ""))</f>
        <v>0</v>
      </c>
      <c r="I50" s="21">
        <f t="shared" si="22"/>
        <v>0</v>
      </c>
      <c r="J50" s="19"/>
      <c r="K50" s="19">
        <f t="shared" si="23"/>
        <v>0</v>
      </c>
      <c r="L50" s="183"/>
      <c r="M50" s="19"/>
      <c r="N50" s="174" t="str">
        <f>IFERROR(INDEX($V$3:$W$102,MATCH(M50,$U$3:$U$102,0),MATCH(L50,#REF!,0)),"")</f>
        <v/>
      </c>
      <c r="O50" s="19">
        <f t="shared" si="24"/>
        <v>0</v>
      </c>
      <c r="P50" s="19"/>
      <c r="Q50" s="19"/>
      <c r="R50" s="19"/>
      <c r="S50" s="19"/>
      <c r="U50" s="179" t="s">
        <v>350</v>
      </c>
      <c r="V50" s="177">
        <v>141</v>
      </c>
      <c r="W50" s="178">
        <v>282</v>
      </c>
    </row>
    <row r="51" spans="2:23">
      <c r="U51" s="179" t="s">
        <v>371</v>
      </c>
      <c r="V51" s="177">
        <v>197</v>
      </c>
      <c r="W51" s="178">
        <v>394</v>
      </c>
    </row>
    <row r="52" spans="2:23">
      <c r="B52" s="105" t="s">
        <v>372</v>
      </c>
      <c r="C52" s="106">
        <f>SUM(C47:C51)</f>
        <v>0</v>
      </c>
      <c r="D52" s="704"/>
      <c r="E52" s="704"/>
      <c r="F52" s="704"/>
      <c r="U52" s="179" t="s">
        <v>373</v>
      </c>
      <c r="V52" s="177">
        <v>384</v>
      </c>
      <c r="W52" s="178">
        <v>768</v>
      </c>
    </row>
    <row r="53" spans="2:23">
      <c r="U53" s="179" t="s">
        <v>374</v>
      </c>
      <c r="V53" s="177">
        <v>515</v>
      </c>
      <c r="W53" s="178">
        <v>1030</v>
      </c>
    </row>
    <row r="54" spans="2:23">
      <c r="U54" s="179" t="s">
        <v>375</v>
      </c>
      <c r="V54" s="177">
        <v>165</v>
      </c>
      <c r="W54" s="178">
        <v>330</v>
      </c>
    </row>
    <row r="55" spans="2:23">
      <c r="U55" s="179" t="s">
        <v>376</v>
      </c>
      <c r="V55" s="177">
        <v>30</v>
      </c>
      <c r="W55" s="178">
        <v>60</v>
      </c>
    </row>
    <row r="56" spans="2:23">
      <c r="B56" s="12" t="s">
        <v>377</v>
      </c>
      <c r="D56" s="12"/>
      <c r="E56" s="12"/>
      <c r="U56" s="179" t="s">
        <v>378</v>
      </c>
      <c r="V56" s="177">
        <v>286</v>
      </c>
      <c r="W56" s="178">
        <v>536</v>
      </c>
    </row>
    <row r="57" spans="2:23" ht="15" customHeight="1">
      <c r="B57" s="1357" t="s">
        <v>379</v>
      </c>
      <c r="C57" s="1357"/>
      <c r="D57" s="1357"/>
      <c r="E57" s="1357"/>
      <c r="F57" s="1357"/>
      <c r="G57" s="1357"/>
      <c r="H57" s="1357"/>
      <c r="U57" s="179" t="s">
        <v>380</v>
      </c>
      <c r="V57" s="177">
        <v>106</v>
      </c>
      <c r="W57" s="178">
        <v>212</v>
      </c>
    </row>
    <row r="58" spans="2:23">
      <c r="B58" s="1357"/>
      <c r="C58" s="1357"/>
      <c r="D58" s="1357"/>
      <c r="E58" s="1357"/>
      <c r="F58" s="1357"/>
      <c r="G58" s="1357"/>
      <c r="H58" s="1357"/>
      <c r="U58" s="179" t="s">
        <v>381</v>
      </c>
      <c r="V58" s="177">
        <v>125</v>
      </c>
      <c r="W58" s="178">
        <v>250</v>
      </c>
    </row>
    <row r="59" spans="2:23">
      <c r="B59" s="14" t="s">
        <v>382</v>
      </c>
      <c r="D59" s="14"/>
      <c r="E59" s="14"/>
      <c r="F59" s="13" t="s">
        <v>383</v>
      </c>
      <c r="U59" s="179" t="s">
        <v>384</v>
      </c>
      <c r="V59" s="177">
        <v>210</v>
      </c>
      <c r="W59" s="178">
        <v>420</v>
      </c>
    </row>
    <row r="60" spans="2:23">
      <c r="F60" s="13" t="s">
        <v>385</v>
      </c>
      <c r="U60" s="179" t="s">
        <v>386</v>
      </c>
      <c r="V60" s="177">
        <v>300</v>
      </c>
      <c r="W60" s="178">
        <v>600</v>
      </c>
    </row>
    <row r="61" spans="2:23">
      <c r="B61" s="13"/>
      <c r="D61" s="13"/>
      <c r="E61" s="13"/>
      <c r="U61" s="179" t="s">
        <v>387</v>
      </c>
      <c r="V61" s="177">
        <v>35</v>
      </c>
      <c r="W61" s="178">
        <v>70</v>
      </c>
    </row>
    <row r="62" spans="2:23">
      <c r="B62" s="14" t="s">
        <v>388</v>
      </c>
      <c r="D62" s="14"/>
      <c r="E62" s="14"/>
      <c r="F62" s="13" t="s">
        <v>389</v>
      </c>
      <c r="U62" s="179" t="s">
        <v>390</v>
      </c>
      <c r="V62" s="177">
        <v>493</v>
      </c>
      <c r="W62" s="178">
        <v>986</v>
      </c>
    </row>
    <row r="63" spans="2:23">
      <c r="F63" s="13" t="s">
        <v>391</v>
      </c>
      <c r="U63" s="179" t="s">
        <v>392</v>
      </c>
      <c r="V63" s="177">
        <v>86</v>
      </c>
      <c r="W63" s="178">
        <v>172</v>
      </c>
    </row>
    <row r="64" spans="2:23">
      <c r="B64" s="13"/>
      <c r="D64" s="13"/>
      <c r="E64" s="13"/>
      <c r="U64" s="179" t="s">
        <v>393</v>
      </c>
      <c r="V64" s="177">
        <v>77</v>
      </c>
      <c r="W64" s="178">
        <v>154</v>
      </c>
    </row>
    <row r="65" spans="2:23">
      <c r="B65" s="14" t="s">
        <v>394</v>
      </c>
      <c r="D65" s="14"/>
      <c r="E65" s="14"/>
      <c r="F65" s="13" t="s">
        <v>395</v>
      </c>
      <c r="U65" s="179" t="s">
        <v>396</v>
      </c>
      <c r="V65" s="177">
        <v>73</v>
      </c>
      <c r="W65" s="178">
        <v>146</v>
      </c>
    </row>
    <row r="66" spans="2:23">
      <c r="F66" s="15" t="s">
        <v>397</v>
      </c>
      <c r="U66" s="179" t="s">
        <v>398</v>
      </c>
      <c r="V66" s="177">
        <v>196</v>
      </c>
      <c r="W66" s="178">
        <v>392</v>
      </c>
    </row>
    <row r="67" spans="2:23">
      <c r="F67" s="13" t="s">
        <v>399</v>
      </c>
      <c r="U67" s="179" t="s">
        <v>400</v>
      </c>
      <c r="V67" s="177">
        <v>453</v>
      </c>
      <c r="W67" s="178">
        <v>906</v>
      </c>
    </row>
    <row r="68" spans="2:23">
      <c r="U68" s="179" t="s">
        <v>401</v>
      </c>
      <c r="V68" s="177">
        <v>109</v>
      </c>
      <c r="W68" s="178">
        <v>218</v>
      </c>
    </row>
    <row r="69" spans="2:23">
      <c r="B69" s="12" t="s">
        <v>402</v>
      </c>
      <c r="D69" s="12"/>
      <c r="E69" s="12"/>
      <c r="U69" s="179" t="s">
        <v>403</v>
      </c>
      <c r="V69" s="177">
        <v>210</v>
      </c>
      <c r="W69" s="178">
        <v>420</v>
      </c>
    </row>
    <row r="70" spans="2:23">
      <c r="B70" s="1356" t="s">
        <v>404</v>
      </c>
      <c r="C70" s="1356"/>
      <c r="D70" s="1356"/>
      <c r="E70" s="1356"/>
      <c r="F70" s="1356"/>
      <c r="G70" s="1356"/>
      <c r="H70" s="1356"/>
      <c r="U70" s="179" t="s">
        <v>405</v>
      </c>
      <c r="V70" s="177">
        <v>89</v>
      </c>
      <c r="W70" s="178">
        <v>178</v>
      </c>
    </row>
    <row r="71" spans="2:23">
      <c r="B71" s="1356"/>
      <c r="C71" s="1356"/>
      <c r="D71" s="1356"/>
      <c r="E71" s="1356"/>
      <c r="F71" s="1356"/>
      <c r="G71" s="1356"/>
      <c r="H71" s="1356"/>
      <c r="U71" s="179" t="s">
        <v>406</v>
      </c>
      <c r="V71" s="177">
        <v>70</v>
      </c>
      <c r="W71" s="178">
        <v>140</v>
      </c>
    </row>
    <row r="72" spans="2:23">
      <c r="B72" s="14" t="s">
        <v>382</v>
      </c>
      <c r="D72" s="14"/>
      <c r="E72" s="14"/>
      <c r="F72" s="13" t="s">
        <v>383</v>
      </c>
      <c r="G72" s="543"/>
      <c r="H72" s="543"/>
      <c r="U72" s="179" t="s">
        <v>407</v>
      </c>
      <c r="V72" s="177">
        <v>409</v>
      </c>
      <c r="W72" s="178">
        <v>818</v>
      </c>
    </row>
    <row r="73" spans="2:23">
      <c r="F73" s="15" t="s">
        <v>408</v>
      </c>
      <c r="U73" s="179" t="s">
        <v>409</v>
      </c>
      <c r="V73" s="177">
        <v>160</v>
      </c>
      <c r="W73" s="178">
        <v>320</v>
      </c>
    </row>
    <row r="74" spans="2:23">
      <c r="B74" s="14" t="s">
        <v>394</v>
      </c>
      <c r="D74" s="14"/>
      <c r="E74" s="14"/>
      <c r="F74" s="13" t="s">
        <v>410</v>
      </c>
      <c r="U74" s="179" t="s">
        <v>411</v>
      </c>
      <c r="V74" s="177">
        <v>62</v>
      </c>
      <c r="W74" s="178">
        <v>124</v>
      </c>
    </row>
    <row r="75" spans="2:23">
      <c r="F75" s="13" t="s">
        <v>412</v>
      </c>
      <c r="U75" s="179" t="s">
        <v>413</v>
      </c>
      <c r="V75" s="177">
        <v>303</v>
      </c>
      <c r="W75" s="178">
        <v>606</v>
      </c>
    </row>
    <row r="76" spans="2:23">
      <c r="B76" s="14" t="s">
        <v>394</v>
      </c>
      <c r="D76" s="14"/>
      <c r="E76" s="14"/>
      <c r="F76" s="13" t="s">
        <v>414</v>
      </c>
      <c r="U76" s="179" t="s">
        <v>415</v>
      </c>
      <c r="V76" s="177">
        <v>257</v>
      </c>
      <c r="W76" s="178">
        <v>514</v>
      </c>
    </row>
    <row r="77" spans="2:23">
      <c r="B77" s="12"/>
      <c r="D77" s="12"/>
      <c r="E77" s="12"/>
      <c r="U77" s="179" t="s">
        <v>416</v>
      </c>
      <c r="V77" s="177">
        <v>293</v>
      </c>
      <c r="W77" s="178">
        <v>586</v>
      </c>
    </row>
    <row r="78" spans="2:23">
      <c r="B78" s="16" t="s">
        <v>417</v>
      </c>
      <c r="D78" s="16"/>
      <c r="E78" s="16"/>
      <c r="U78" s="184" t="s">
        <v>418</v>
      </c>
      <c r="V78" s="185">
        <v>425</v>
      </c>
      <c r="W78" s="186">
        <v>850</v>
      </c>
    </row>
    <row r="79" spans="2:23">
      <c r="B79" s="1365" t="s">
        <v>419</v>
      </c>
      <c r="C79" s="1365"/>
      <c r="D79" s="1365"/>
      <c r="E79" s="1365"/>
      <c r="F79" s="1365"/>
      <c r="G79" s="1365"/>
      <c r="H79" s="1365"/>
      <c r="U79" s="179" t="s">
        <v>420</v>
      </c>
      <c r="V79" s="177">
        <v>390</v>
      </c>
      <c r="W79" s="178">
        <v>780</v>
      </c>
    </row>
    <row r="80" spans="2:23" ht="15" customHeight="1">
      <c r="B80" s="1365"/>
      <c r="C80" s="1365"/>
      <c r="D80" s="1365"/>
      <c r="E80" s="1365"/>
      <c r="F80" s="1365"/>
      <c r="G80" s="1365"/>
      <c r="H80" s="1365"/>
      <c r="U80" s="179" t="s">
        <v>421</v>
      </c>
      <c r="V80" s="177">
        <v>50</v>
      </c>
      <c r="W80" s="178">
        <v>100</v>
      </c>
    </row>
    <row r="81" spans="2:23">
      <c r="B81" s="1365"/>
      <c r="C81" s="1365"/>
      <c r="D81" s="1365"/>
      <c r="E81" s="1365"/>
      <c r="F81" s="1365"/>
      <c r="G81" s="1365"/>
      <c r="H81" s="1365"/>
      <c r="U81" s="179" t="s">
        <v>422</v>
      </c>
      <c r="V81" s="177">
        <v>351</v>
      </c>
      <c r="W81" s="178">
        <v>702</v>
      </c>
    </row>
    <row r="82" spans="2:23">
      <c r="U82" s="179" t="s">
        <v>423</v>
      </c>
      <c r="V82" s="177">
        <v>101</v>
      </c>
      <c r="W82" s="178">
        <v>202</v>
      </c>
    </row>
    <row r="83" spans="2:23">
      <c r="B83" s="16" t="s">
        <v>424</v>
      </c>
      <c r="D83" s="16"/>
      <c r="E83" s="16"/>
      <c r="U83" s="179" t="s">
        <v>425</v>
      </c>
      <c r="V83" s="177">
        <v>185</v>
      </c>
      <c r="W83" s="178">
        <v>370</v>
      </c>
    </row>
    <row r="84" spans="2:23" ht="15" customHeight="1">
      <c r="B84" s="1365" t="s">
        <v>426</v>
      </c>
      <c r="C84" s="1365"/>
      <c r="D84" s="1365"/>
      <c r="E84" s="1365"/>
      <c r="F84" s="1365"/>
      <c r="G84" s="1365"/>
      <c r="H84" s="1365"/>
      <c r="U84" s="179" t="s">
        <v>427</v>
      </c>
      <c r="V84" s="177">
        <v>277</v>
      </c>
      <c r="W84" s="178">
        <v>554</v>
      </c>
    </row>
    <row r="85" spans="2:23">
      <c r="B85" s="1365"/>
      <c r="C85" s="1365"/>
      <c r="D85" s="1365"/>
      <c r="E85" s="1365"/>
      <c r="F85" s="1365"/>
      <c r="G85" s="1365"/>
      <c r="H85" s="1365"/>
      <c r="U85" s="179" t="s">
        <v>428</v>
      </c>
      <c r="V85" s="177">
        <v>129</v>
      </c>
      <c r="W85" s="178">
        <v>258</v>
      </c>
    </row>
    <row r="86" spans="2:23">
      <c r="B86" s="1365"/>
      <c r="C86" s="1365"/>
      <c r="D86" s="1365"/>
      <c r="E86" s="1365"/>
      <c r="F86" s="1365"/>
      <c r="G86" s="1365"/>
      <c r="H86" s="1365"/>
      <c r="U86" s="179" t="s">
        <v>429</v>
      </c>
      <c r="V86" s="177">
        <v>63</v>
      </c>
      <c r="W86" s="178">
        <v>126</v>
      </c>
    </row>
    <row r="87" spans="2:23">
      <c r="B87" s="17"/>
      <c r="D87" s="17"/>
      <c r="E87" s="17"/>
      <c r="U87" s="179" t="s">
        <v>430</v>
      </c>
      <c r="V87" s="177">
        <v>277</v>
      </c>
      <c r="W87" s="178">
        <v>554</v>
      </c>
    </row>
    <row r="88" spans="2:23" ht="15" customHeight="1">
      <c r="B88" s="16" t="s">
        <v>431</v>
      </c>
      <c r="D88" s="16"/>
      <c r="E88" s="16"/>
      <c r="G88" s="542"/>
      <c r="H88" s="542"/>
      <c r="U88" s="179" t="s">
        <v>432</v>
      </c>
      <c r="V88" s="177">
        <v>390</v>
      </c>
      <c r="W88" s="178">
        <v>780</v>
      </c>
    </row>
    <row r="89" spans="2:23">
      <c r="B89" s="1365" t="s">
        <v>433</v>
      </c>
      <c r="C89" s="1365"/>
      <c r="D89" s="1365"/>
      <c r="E89" s="1365"/>
      <c r="F89" s="1365"/>
      <c r="G89" s="1365"/>
      <c r="H89" s="1365"/>
      <c r="U89" s="179" t="s">
        <v>434</v>
      </c>
      <c r="V89" s="177">
        <v>101</v>
      </c>
      <c r="W89" s="178">
        <v>202</v>
      </c>
    </row>
    <row r="90" spans="2:23">
      <c r="B90" s="1365"/>
      <c r="C90" s="1365"/>
      <c r="D90" s="1365"/>
      <c r="E90" s="1365"/>
      <c r="F90" s="1365"/>
      <c r="G90" s="1365"/>
      <c r="H90" s="1365"/>
      <c r="U90" s="179" t="s">
        <v>435</v>
      </c>
      <c r="V90" s="177">
        <v>158</v>
      </c>
      <c r="W90" s="178">
        <v>316</v>
      </c>
    </row>
    <row r="91" spans="2:23">
      <c r="B91" s="17"/>
      <c r="D91" s="17"/>
      <c r="E91" s="17"/>
      <c r="U91" s="179" t="s">
        <v>436</v>
      </c>
      <c r="V91" s="177">
        <v>63</v>
      </c>
      <c r="W91" s="178">
        <v>126</v>
      </c>
    </row>
    <row r="92" spans="2:23" ht="15.75" customHeight="1">
      <c r="B92" s="16" t="s">
        <v>437</v>
      </c>
      <c r="D92" s="16"/>
      <c r="E92" s="16"/>
      <c r="U92" s="179" t="s">
        <v>438</v>
      </c>
      <c r="V92" s="177">
        <v>8</v>
      </c>
      <c r="W92" s="178">
        <v>16</v>
      </c>
    </row>
    <row r="93" spans="2:23">
      <c r="B93" s="1365" t="s">
        <v>439</v>
      </c>
      <c r="C93" s="1365"/>
      <c r="D93" s="1365"/>
      <c r="E93" s="1365"/>
      <c r="F93" s="1365"/>
      <c r="G93" s="1365"/>
      <c r="H93" s="1365"/>
      <c r="U93" s="179" t="s">
        <v>440</v>
      </c>
      <c r="V93" s="177">
        <v>213</v>
      </c>
      <c r="W93" s="178">
        <v>426</v>
      </c>
    </row>
    <row r="94" spans="2:23">
      <c r="B94" s="1365"/>
      <c r="C94" s="1365"/>
      <c r="D94" s="1365"/>
      <c r="E94" s="1365"/>
      <c r="F94" s="1365"/>
      <c r="G94" s="1365"/>
      <c r="H94" s="1365"/>
      <c r="U94" s="179" t="s">
        <v>441</v>
      </c>
      <c r="V94" s="177">
        <v>95</v>
      </c>
      <c r="W94" s="178">
        <v>190</v>
      </c>
    </row>
    <row r="95" spans="2:23">
      <c r="B95" s="17"/>
      <c r="D95" s="17"/>
      <c r="E95" s="17"/>
      <c r="U95" s="179" t="s">
        <v>442</v>
      </c>
      <c r="V95" s="177">
        <v>319</v>
      </c>
      <c r="W95" s="178">
        <v>638</v>
      </c>
    </row>
    <row r="96" spans="2:23">
      <c r="B96" s="20" t="s">
        <v>443</v>
      </c>
      <c r="D96" s="20"/>
      <c r="E96" s="20"/>
      <c r="F96" s="20"/>
      <c r="U96" s="179" t="s">
        <v>444</v>
      </c>
      <c r="V96" s="177">
        <v>95</v>
      </c>
      <c r="W96" s="178">
        <v>190</v>
      </c>
    </row>
    <row r="97" spans="2:23">
      <c r="B97" s="1364" t="s">
        <v>445</v>
      </c>
      <c r="C97" s="1364"/>
      <c r="D97" s="1364"/>
      <c r="E97" s="1364"/>
      <c r="F97" s="1364"/>
      <c r="G97" s="1364"/>
      <c r="H97" s="1364"/>
      <c r="U97" s="179" t="s">
        <v>446</v>
      </c>
      <c r="V97" s="177">
        <v>30</v>
      </c>
      <c r="W97" s="178">
        <v>60</v>
      </c>
    </row>
    <row r="98" spans="2:23">
      <c r="B98" s="1364"/>
      <c r="C98" s="1364"/>
      <c r="D98" s="1364"/>
      <c r="E98" s="1364"/>
      <c r="F98" s="1364"/>
      <c r="G98" s="1364"/>
      <c r="H98" s="1364"/>
      <c r="U98" s="179" t="s">
        <v>447</v>
      </c>
      <c r="V98" s="177">
        <v>68</v>
      </c>
      <c r="W98" s="178">
        <v>136</v>
      </c>
    </row>
    <row r="99" spans="2:23">
      <c r="B99" s="1364"/>
      <c r="C99" s="1364"/>
      <c r="D99" s="1364"/>
      <c r="E99" s="1364"/>
      <c r="F99" s="1364"/>
      <c r="G99" s="1364"/>
      <c r="H99" s="1364"/>
      <c r="U99" s="179" t="s">
        <v>448</v>
      </c>
      <c r="V99" s="177">
        <v>373</v>
      </c>
      <c r="W99" s="178">
        <v>746</v>
      </c>
    </row>
    <row r="100" spans="2:23">
      <c r="B100" s="1364"/>
      <c r="C100" s="1364"/>
      <c r="D100" s="1364"/>
      <c r="E100" s="1364"/>
      <c r="F100" s="1364"/>
      <c r="G100" s="1364"/>
      <c r="H100" s="1364"/>
      <c r="U100" s="179" t="s">
        <v>449</v>
      </c>
      <c r="V100" s="177">
        <v>342</v>
      </c>
      <c r="W100" s="178">
        <v>684</v>
      </c>
    </row>
    <row r="101" spans="2:23">
      <c r="B101" s="1364"/>
      <c r="C101" s="1364"/>
      <c r="D101" s="1364"/>
      <c r="E101" s="1364"/>
      <c r="F101" s="1364"/>
      <c r="G101" s="1364"/>
      <c r="H101" s="1364"/>
      <c r="U101" s="179" t="s">
        <v>450</v>
      </c>
      <c r="V101" s="177">
        <v>206</v>
      </c>
      <c r="W101" s="178">
        <v>412</v>
      </c>
    </row>
    <row r="102" spans="2:23" ht="15.75" thickBot="1">
      <c r="B102" s="1364"/>
      <c r="C102" s="1364"/>
      <c r="D102" s="1364"/>
      <c r="E102" s="1364"/>
      <c r="F102" s="1364"/>
      <c r="G102" s="1364"/>
      <c r="H102" s="1364"/>
      <c r="U102" s="180" t="s">
        <v>451</v>
      </c>
      <c r="V102" s="181">
        <v>129</v>
      </c>
      <c r="W102" s="182">
        <v>258</v>
      </c>
    </row>
  </sheetData>
  <mergeCells count="14">
    <mergeCell ref="B97:H102"/>
    <mergeCell ref="B93:H94"/>
    <mergeCell ref="B89:H90"/>
    <mergeCell ref="B84:H86"/>
    <mergeCell ref="B79:H81"/>
    <mergeCell ref="B70:H71"/>
    <mergeCell ref="B57:H58"/>
    <mergeCell ref="U2:W2"/>
    <mergeCell ref="B45:S45"/>
    <mergeCell ref="B9:S9"/>
    <mergeCell ref="B18:S18"/>
    <mergeCell ref="B27:S27"/>
    <mergeCell ref="B36:S36"/>
    <mergeCell ref="F2:G2"/>
  </mergeCells>
  <dataValidations count="3">
    <dataValidation type="list" allowBlank="1" showInputMessage="1" showErrorMessage="1" sqref="L11:L14 L47:L50 L20:L23 L29:L32 L38:L41" xr:uid="{9D1E3824-ACC2-4DAE-9FF7-52FAE8B628BE}">
      <formula1>#REF!</formula1>
    </dataValidation>
    <dataValidation type="list" allowBlank="1" showInputMessage="1" showErrorMessage="1" sqref="M38:M41 M11:M14 M20:M23 M29:M32 M47:M50" xr:uid="{C31FD3A6-F11E-47F6-A915-454BB78FCE73}">
      <formula1>$U$3:$U$102</formula1>
    </dataValidation>
    <dataValidation type="list" allowBlank="1" showInputMessage="1" showErrorMessage="1" sqref="D11:D14 D20:D23 D29:D32 D38:D41 D47:D50" xr:uid="{C33EFBCC-9AA1-4EB6-A62E-03F5E10DEC98}">
      <formula1>"In-State, Out-of-State"</formula1>
    </dataValidation>
  </dataValidations>
  <pageMargins left="0.7" right="0.7" top="0.75" bottom="0.75" header="0.3" footer="0.3"/>
  <pageSetup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81922-EDED-4AE0-A793-8BB97F8BB399}">
  <dimension ref="A1:P207"/>
  <sheetViews>
    <sheetView showGridLines="0" workbookViewId="0">
      <selection activeCell="B6" sqref="B6:O206"/>
    </sheetView>
  </sheetViews>
  <sheetFormatPr defaultColWidth="0" defaultRowHeight="15" zeroHeight="1"/>
  <cols>
    <col min="1" max="1" width="2.28515625" customWidth="1"/>
    <col min="2" max="2" width="17.140625" bestFit="1" customWidth="1"/>
    <col min="3" max="3" width="18.42578125" customWidth="1"/>
    <col min="4" max="4" width="39.5703125" bestFit="1" customWidth="1"/>
    <col min="5" max="8" width="9.140625" customWidth="1"/>
    <col min="9" max="9" width="4.85546875" bestFit="1" customWidth="1"/>
    <col min="10" max="10" width="7" bestFit="1" customWidth="1"/>
    <col min="11" max="11" width="4.42578125" bestFit="1" customWidth="1"/>
    <col min="12" max="15" width="9.140625" customWidth="1"/>
    <col min="16" max="16" width="2.7109375" customWidth="1"/>
    <col min="17" max="16384" width="9.140625" hidden="1"/>
  </cols>
  <sheetData>
    <row r="1" spans="2:15" ht="6.75" customHeight="1" thickBot="1"/>
    <row r="2" spans="2:15" ht="15" customHeight="1">
      <c r="B2" s="396" t="s">
        <v>244</v>
      </c>
      <c r="C2" s="397" t="str">
        <f>IF(ISBLANK('Budget Summary'!D5),"-",'Budget Summary'!D5)</f>
        <v/>
      </c>
      <c r="D2" s="1376" t="s">
        <v>123</v>
      </c>
      <c r="E2" s="944" t="s">
        <v>124</v>
      </c>
      <c r="F2" s="1039"/>
      <c r="G2" s="1039" t="str">
        <f>T('Budget Summary'!G37)</f>
        <v/>
      </c>
      <c r="H2" s="1039"/>
      <c r="I2" s="1039"/>
      <c r="J2" s="945"/>
      <c r="K2" s="1041" t="s">
        <v>125</v>
      </c>
      <c r="L2" s="1026" t="str">
        <f>T('Budget Summary'!D7)</f>
        <v/>
      </c>
      <c r="M2" s="1026"/>
      <c r="N2" s="1026"/>
      <c r="O2" s="1027"/>
    </row>
    <row r="3" spans="2:15">
      <c r="B3" s="399" t="s">
        <v>245</v>
      </c>
      <c r="C3" s="400" t="str">
        <f>IF(ISBLANK('Budget Summary'!D6),"-",'Budget Summary'!D6)</f>
        <v/>
      </c>
      <c r="D3" s="1377"/>
      <c r="E3" s="946"/>
      <c r="F3" s="1040"/>
      <c r="G3" s="1040"/>
      <c r="H3" s="1040"/>
      <c r="I3" s="1040"/>
      <c r="J3" s="947"/>
      <c r="K3" s="1042"/>
      <c r="L3" s="1028"/>
      <c r="M3" s="1028"/>
      <c r="N3" s="1028"/>
      <c r="O3" s="1029"/>
    </row>
    <row r="4" spans="2:15" ht="15.75" customHeight="1" thickBot="1">
      <c r="B4" s="401" t="s">
        <v>127</v>
      </c>
      <c r="C4" s="1118" t="str">
        <f>T('Budget Summary'!D8)</f>
        <v/>
      </c>
      <c r="D4" s="1118"/>
      <c r="E4" s="1118"/>
      <c r="F4" s="1118"/>
      <c r="G4" s="1118"/>
      <c r="H4" s="1118"/>
      <c r="I4" s="1118"/>
      <c r="J4" s="1118"/>
      <c r="K4" s="1118"/>
      <c r="L4" s="1118"/>
      <c r="M4" s="1118"/>
      <c r="N4" s="1118"/>
      <c r="O4" s="1375"/>
    </row>
    <row r="5" spans="2:15" ht="15.75" thickBot="1"/>
    <row r="6" spans="2:15">
      <c r="B6" s="1366" t="s">
        <v>452</v>
      </c>
      <c r="C6" s="1367"/>
      <c r="D6" s="1367"/>
      <c r="E6" s="1367"/>
      <c r="F6" s="1367"/>
      <c r="G6" s="1367"/>
      <c r="H6" s="1367"/>
      <c r="I6" s="1367"/>
      <c r="J6" s="1367"/>
      <c r="K6" s="1367"/>
      <c r="L6" s="1367"/>
      <c r="M6" s="1367"/>
      <c r="N6" s="1367"/>
      <c r="O6" s="1368"/>
    </row>
    <row r="7" spans="2:15">
      <c r="B7" s="1369"/>
      <c r="C7" s="1370"/>
      <c r="D7" s="1370"/>
      <c r="E7" s="1370"/>
      <c r="F7" s="1370"/>
      <c r="G7" s="1370"/>
      <c r="H7" s="1370"/>
      <c r="I7" s="1370"/>
      <c r="J7" s="1370"/>
      <c r="K7" s="1370"/>
      <c r="L7" s="1370"/>
      <c r="M7" s="1370"/>
      <c r="N7" s="1370"/>
      <c r="O7" s="1371"/>
    </row>
    <row r="8" spans="2:15">
      <c r="B8" s="1369"/>
      <c r="C8" s="1370"/>
      <c r="D8" s="1370"/>
      <c r="E8" s="1370"/>
      <c r="F8" s="1370"/>
      <c r="G8" s="1370"/>
      <c r="H8" s="1370"/>
      <c r="I8" s="1370"/>
      <c r="J8" s="1370"/>
      <c r="K8" s="1370"/>
      <c r="L8" s="1370"/>
      <c r="M8" s="1370"/>
      <c r="N8" s="1370"/>
      <c r="O8" s="1371"/>
    </row>
    <row r="9" spans="2:15">
      <c r="B9" s="1369"/>
      <c r="C9" s="1370"/>
      <c r="D9" s="1370"/>
      <c r="E9" s="1370"/>
      <c r="F9" s="1370"/>
      <c r="G9" s="1370"/>
      <c r="H9" s="1370"/>
      <c r="I9" s="1370"/>
      <c r="J9" s="1370"/>
      <c r="K9" s="1370"/>
      <c r="L9" s="1370"/>
      <c r="M9" s="1370"/>
      <c r="N9" s="1370"/>
      <c r="O9" s="1371"/>
    </row>
    <row r="10" spans="2:15">
      <c r="B10" s="1369"/>
      <c r="C10" s="1370"/>
      <c r="D10" s="1370"/>
      <c r="E10" s="1370"/>
      <c r="F10" s="1370"/>
      <c r="G10" s="1370"/>
      <c r="H10" s="1370"/>
      <c r="I10" s="1370"/>
      <c r="J10" s="1370"/>
      <c r="K10" s="1370"/>
      <c r="L10" s="1370"/>
      <c r="M10" s="1370"/>
      <c r="N10" s="1370"/>
      <c r="O10" s="1371"/>
    </row>
    <row r="11" spans="2:15">
      <c r="B11" s="1369"/>
      <c r="C11" s="1370"/>
      <c r="D11" s="1370"/>
      <c r="E11" s="1370"/>
      <c r="F11" s="1370"/>
      <c r="G11" s="1370"/>
      <c r="H11" s="1370"/>
      <c r="I11" s="1370"/>
      <c r="J11" s="1370"/>
      <c r="K11" s="1370"/>
      <c r="L11" s="1370"/>
      <c r="M11" s="1370"/>
      <c r="N11" s="1370"/>
      <c r="O11" s="1371"/>
    </row>
    <row r="12" spans="2:15">
      <c r="B12" s="1369"/>
      <c r="C12" s="1370"/>
      <c r="D12" s="1370"/>
      <c r="E12" s="1370"/>
      <c r="F12" s="1370"/>
      <c r="G12" s="1370"/>
      <c r="H12" s="1370"/>
      <c r="I12" s="1370"/>
      <c r="J12" s="1370"/>
      <c r="K12" s="1370"/>
      <c r="L12" s="1370"/>
      <c r="M12" s="1370"/>
      <c r="N12" s="1370"/>
      <c r="O12" s="1371"/>
    </row>
    <row r="13" spans="2:15">
      <c r="B13" s="1369"/>
      <c r="C13" s="1370"/>
      <c r="D13" s="1370"/>
      <c r="E13" s="1370"/>
      <c r="F13" s="1370"/>
      <c r="G13" s="1370"/>
      <c r="H13" s="1370"/>
      <c r="I13" s="1370"/>
      <c r="J13" s="1370"/>
      <c r="K13" s="1370"/>
      <c r="L13" s="1370"/>
      <c r="M13" s="1370"/>
      <c r="N13" s="1370"/>
      <c r="O13" s="1371"/>
    </row>
    <row r="14" spans="2:15">
      <c r="B14" s="1369"/>
      <c r="C14" s="1370"/>
      <c r="D14" s="1370"/>
      <c r="E14" s="1370"/>
      <c r="F14" s="1370"/>
      <c r="G14" s="1370"/>
      <c r="H14" s="1370"/>
      <c r="I14" s="1370"/>
      <c r="J14" s="1370"/>
      <c r="K14" s="1370"/>
      <c r="L14" s="1370"/>
      <c r="M14" s="1370"/>
      <c r="N14" s="1370"/>
      <c r="O14" s="1371"/>
    </row>
    <row r="15" spans="2:15">
      <c r="B15" s="1369"/>
      <c r="C15" s="1370"/>
      <c r="D15" s="1370"/>
      <c r="E15" s="1370"/>
      <c r="F15" s="1370"/>
      <c r="G15" s="1370"/>
      <c r="H15" s="1370"/>
      <c r="I15" s="1370"/>
      <c r="J15" s="1370"/>
      <c r="K15" s="1370"/>
      <c r="L15" s="1370"/>
      <c r="M15" s="1370"/>
      <c r="N15" s="1370"/>
      <c r="O15" s="1371"/>
    </row>
    <row r="16" spans="2:15">
      <c r="B16" s="1369"/>
      <c r="C16" s="1370"/>
      <c r="D16" s="1370"/>
      <c r="E16" s="1370"/>
      <c r="F16" s="1370"/>
      <c r="G16" s="1370"/>
      <c r="H16" s="1370"/>
      <c r="I16" s="1370"/>
      <c r="J16" s="1370"/>
      <c r="K16" s="1370"/>
      <c r="L16" s="1370"/>
      <c r="M16" s="1370"/>
      <c r="N16" s="1370"/>
      <c r="O16" s="1371"/>
    </row>
    <row r="17" spans="2:15">
      <c r="B17" s="1369"/>
      <c r="C17" s="1370"/>
      <c r="D17" s="1370"/>
      <c r="E17" s="1370"/>
      <c r="F17" s="1370"/>
      <c r="G17" s="1370"/>
      <c r="H17" s="1370"/>
      <c r="I17" s="1370"/>
      <c r="J17" s="1370"/>
      <c r="K17" s="1370"/>
      <c r="L17" s="1370"/>
      <c r="M17" s="1370"/>
      <c r="N17" s="1370"/>
      <c r="O17" s="1371"/>
    </row>
    <row r="18" spans="2:15">
      <c r="B18" s="1369"/>
      <c r="C18" s="1370"/>
      <c r="D18" s="1370"/>
      <c r="E18" s="1370"/>
      <c r="F18" s="1370"/>
      <c r="G18" s="1370"/>
      <c r="H18" s="1370"/>
      <c r="I18" s="1370"/>
      <c r="J18" s="1370"/>
      <c r="K18" s="1370"/>
      <c r="L18" s="1370"/>
      <c r="M18" s="1370"/>
      <c r="N18" s="1370"/>
      <c r="O18" s="1371"/>
    </row>
    <row r="19" spans="2:15">
      <c r="B19" s="1369"/>
      <c r="C19" s="1370"/>
      <c r="D19" s="1370"/>
      <c r="E19" s="1370"/>
      <c r="F19" s="1370"/>
      <c r="G19" s="1370"/>
      <c r="H19" s="1370"/>
      <c r="I19" s="1370"/>
      <c r="J19" s="1370"/>
      <c r="K19" s="1370"/>
      <c r="L19" s="1370"/>
      <c r="M19" s="1370"/>
      <c r="N19" s="1370"/>
      <c r="O19" s="1371"/>
    </row>
    <row r="20" spans="2:15">
      <c r="B20" s="1369"/>
      <c r="C20" s="1370"/>
      <c r="D20" s="1370"/>
      <c r="E20" s="1370"/>
      <c r="F20" s="1370"/>
      <c r="G20" s="1370"/>
      <c r="H20" s="1370"/>
      <c r="I20" s="1370"/>
      <c r="J20" s="1370"/>
      <c r="K20" s="1370"/>
      <c r="L20" s="1370"/>
      <c r="M20" s="1370"/>
      <c r="N20" s="1370"/>
      <c r="O20" s="1371"/>
    </row>
    <row r="21" spans="2:15">
      <c r="B21" s="1369"/>
      <c r="C21" s="1370"/>
      <c r="D21" s="1370"/>
      <c r="E21" s="1370"/>
      <c r="F21" s="1370"/>
      <c r="G21" s="1370"/>
      <c r="H21" s="1370"/>
      <c r="I21" s="1370"/>
      <c r="J21" s="1370"/>
      <c r="K21" s="1370"/>
      <c r="L21" s="1370"/>
      <c r="M21" s="1370"/>
      <c r="N21" s="1370"/>
      <c r="O21" s="1371"/>
    </row>
    <row r="22" spans="2:15">
      <c r="B22" s="1369"/>
      <c r="C22" s="1370"/>
      <c r="D22" s="1370"/>
      <c r="E22" s="1370"/>
      <c r="F22" s="1370"/>
      <c r="G22" s="1370"/>
      <c r="H22" s="1370"/>
      <c r="I22" s="1370"/>
      <c r="J22" s="1370"/>
      <c r="K22" s="1370"/>
      <c r="L22" s="1370"/>
      <c r="M22" s="1370"/>
      <c r="N22" s="1370"/>
      <c r="O22" s="1371"/>
    </row>
    <row r="23" spans="2:15">
      <c r="B23" s="1369"/>
      <c r="C23" s="1370"/>
      <c r="D23" s="1370"/>
      <c r="E23" s="1370"/>
      <c r="F23" s="1370"/>
      <c r="G23" s="1370"/>
      <c r="H23" s="1370"/>
      <c r="I23" s="1370"/>
      <c r="J23" s="1370"/>
      <c r="K23" s="1370"/>
      <c r="L23" s="1370"/>
      <c r="M23" s="1370"/>
      <c r="N23" s="1370"/>
      <c r="O23" s="1371"/>
    </row>
    <row r="24" spans="2:15">
      <c r="B24" s="1369"/>
      <c r="C24" s="1370"/>
      <c r="D24" s="1370"/>
      <c r="E24" s="1370"/>
      <c r="F24" s="1370"/>
      <c r="G24" s="1370"/>
      <c r="H24" s="1370"/>
      <c r="I24" s="1370"/>
      <c r="J24" s="1370"/>
      <c r="K24" s="1370"/>
      <c r="L24" s="1370"/>
      <c r="M24" s="1370"/>
      <c r="N24" s="1370"/>
      <c r="O24" s="1371"/>
    </row>
    <row r="25" spans="2:15">
      <c r="B25" s="1369"/>
      <c r="C25" s="1370"/>
      <c r="D25" s="1370"/>
      <c r="E25" s="1370"/>
      <c r="F25" s="1370"/>
      <c r="G25" s="1370"/>
      <c r="H25" s="1370"/>
      <c r="I25" s="1370"/>
      <c r="J25" s="1370"/>
      <c r="K25" s="1370"/>
      <c r="L25" s="1370"/>
      <c r="M25" s="1370"/>
      <c r="N25" s="1370"/>
      <c r="O25" s="1371"/>
    </row>
    <row r="26" spans="2:15">
      <c r="B26" s="1369"/>
      <c r="C26" s="1370"/>
      <c r="D26" s="1370"/>
      <c r="E26" s="1370"/>
      <c r="F26" s="1370"/>
      <c r="G26" s="1370"/>
      <c r="H26" s="1370"/>
      <c r="I26" s="1370"/>
      <c r="J26" s="1370"/>
      <c r="K26" s="1370"/>
      <c r="L26" s="1370"/>
      <c r="M26" s="1370"/>
      <c r="N26" s="1370"/>
      <c r="O26" s="1371"/>
    </row>
    <row r="27" spans="2:15">
      <c r="B27" s="1369"/>
      <c r="C27" s="1370"/>
      <c r="D27" s="1370"/>
      <c r="E27" s="1370"/>
      <c r="F27" s="1370"/>
      <c r="G27" s="1370"/>
      <c r="H27" s="1370"/>
      <c r="I27" s="1370"/>
      <c r="J27" s="1370"/>
      <c r="K27" s="1370"/>
      <c r="L27" s="1370"/>
      <c r="M27" s="1370"/>
      <c r="N27" s="1370"/>
      <c r="O27" s="1371"/>
    </row>
    <row r="28" spans="2:15">
      <c r="B28" s="1369"/>
      <c r="C28" s="1370"/>
      <c r="D28" s="1370"/>
      <c r="E28" s="1370"/>
      <c r="F28" s="1370"/>
      <c r="G28" s="1370"/>
      <c r="H28" s="1370"/>
      <c r="I28" s="1370"/>
      <c r="J28" s="1370"/>
      <c r="K28" s="1370"/>
      <c r="L28" s="1370"/>
      <c r="M28" s="1370"/>
      <c r="N28" s="1370"/>
      <c r="O28" s="1371"/>
    </row>
    <row r="29" spans="2:15">
      <c r="B29" s="1369"/>
      <c r="C29" s="1370"/>
      <c r="D29" s="1370"/>
      <c r="E29" s="1370"/>
      <c r="F29" s="1370"/>
      <c r="G29" s="1370"/>
      <c r="H29" s="1370"/>
      <c r="I29" s="1370"/>
      <c r="J29" s="1370"/>
      <c r="K29" s="1370"/>
      <c r="L29" s="1370"/>
      <c r="M29" s="1370"/>
      <c r="N29" s="1370"/>
      <c r="O29" s="1371"/>
    </row>
    <row r="30" spans="2:15">
      <c r="B30" s="1369"/>
      <c r="C30" s="1370"/>
      <c r="D30" s="1370"/>
      <c r="E30" s="1370"/>
      <c r="F30" s="1370"/>
      <c r="G30" s="1370"/>
      <c r="H30" s="1370"/>
      <c r="I30" s="1370"/>
      <c r="J30" s="1370"/>
      <c r="K30" s="1370"/>
      <c r="L30" s="1370"/>
      <c r="M30" s="1370"/>
      <c r="N30" s="1370"/>
      <c r="O30" s="1371"/>
    </row>
    <row r="31" spans="2:15">
      <c r="B31" s="1369"/>
      <c r="C31" s="1370"/>
      <c r="D31" s="1370"/>
      <c r="E31" s="1370"/>
      <c r="F31" s="1370"/>
      <c r="G31" s="1370"/>
      <c r="H31" s="1370"/>
      <c r="I31" s="1370"/>
      <c r="J31" s="1370"/>
      <c r="K31" s="1370"/>
      <c r="L31" s="1370"/>
      <c r="M31" s="1370"/>
      <c r="N31" s="1370"/>
      <c r="O31" s="1371"/>
    </row>
    <row r="32" spans="2:15">
      <c r="B32" s="1369"/>
      <c r="C32" s="1370"/>
      <c r="D32" s="1370"/>
      <c r="E32" s="1370"/>
      <c r="F32" s="1370"/>
      <c r="G32" s="1370"/>
      <c r="H32" s="1370"/>
      <c r="I32" s="1370"/>
      <c r="J32" s="1370"/>
      <c r="K32" s="1370"/>
      <c r="L32" s="1370"/>
      <c r="M32" s="1370"/>
      <c r="N32" s="1370"/>
      <c r="O32" s="1371"/>
    </row>
    <row r="33" spans="2:15">
      <c r="B33" s="1369"/>
      <c r="C33" s="1370"/>
      <c r="D33" s="1370"/>
      <c r="E33" s="1370"/>
      <c r="F33" s="1370"/>
      <c r="G33" s="1370"/>
      <c r="H33" s="1370"/>
      <c r="I33" s="1370"/>
      <c r="J33" s="1370"/>
      <c r="K33" s="1370"/>
      <c r="L33" s="1370"/>
      <c r="M33" s="1370"/>
      <c r="N33" s="1370"/>
      <c r="O33" s="1371"/>
    </row>
    <row r="34" spans="2:15">
      <c r="B34" s="1369"/>
      <c r="C34" s="1370"/>
      <c r="D34" s="1370"/>
      <c r="E34" s="1370"/>
      <c r="F34" s="1370"/>
      <c r="G34" s="1370"/>
      <c r="H34" s="1370"/>
      <c r="I34" s="1370"/>
      <c r="J34" s="1370"/>
      <c r="K34" s="1370"/>
      <c r="L34" s="1370"/>
      <c r="M34" s="1370"/>
      <c r="N34" s="1370"/>
      <c r="O34" s="1371"/>
    </row>
    <row r="35" spans="2:15">
      <c r="B35" s="1369"/>
      <c r="C35" s="1370"/>
      <c r="D35" s="1370"/>
      <c r="E35" s="1370"/>
      <c r="F35" s="1370"/>
      <c r="G35" s="1370"/>
      <c r="H35" s="1370"/>
      <c r="I35" s="1370"/>
      <c r="J35" s="1370"/>
      <c r="K35" s="1370"/>
      <c r="L35" s="1370"/>
      <c r="M35" s="1370"/>
      <c r="N35" s="1370"/>
      <c r="O35" s="1371"/>
    </row>
    <row r="36" spans="2:15">
      <c r="B36" s="1369"/>
      <c r="C36" s="1370"/>
      <c r="D36" s="1370"/>
      <c r="E36" s="1370"/>
      <c r="F36" s="1370"/>
      <c r="G36" s="1370"/>
      <c r="H36" s="1370"/>
      <c r="I36" s="1370"/>
      <c r="J36" s="1370"/>
      <c r="K36" s="1370"/>
      <c r="L36" s="1370"/>
      <c r="M36" s="1370"/>
      <c r="N36" s="1370"/>
      <c r="O36" s="1371"/>
    </row>
    <row r="37" spans="2:15">
      <c r="B37" s="1369"/>
      <c r="C37" s="1370"/>
      <c r="D37" s="1370"/>
      <c r="E37" s="1370"/>
      <c r="F37" s="1370"/>
      <c r="G37" s="1370"/>
      <c r="H37" s="1370"/>
      <c r="I37" s="1370"/>
      <c r="J37" s="1370"/>
      <c r="K37" s="1370"/>
      <c r="L37" s="1370"/>
      <c r="M37" s="1370"/>
      <c r="N37" s="1370"/>
      <c r="O37" s="1371"/>
    </row>
    <row r="38" spans="2:15">
      <c r="B38" s="1369"/>
      <c r="C38" s="1370"/>
      <c r="D38" s="1370"/>
      <c r="E38" s="1370"/>
      <c r="F38" s="1370"/>
      <c r="G38" s="1370"/>
      <c r="H38" s="1370"/>
      <c r="I38" s="1370"/>
      <c r="J38" s="1370"/>
      <c r="K38" s="1370"/>
      <c r="L38" s="1370"/>
      <c r="M38" s="1370"/>
      <c r="N38" s="1370"/>
      <c r="O38" s="1371"/>
    </row>
    <row r="39" spans="2:15">
      <c r="B39" s="1369"/>
      <c r="C39" s="1370"/>
      <c r="D39" s="1370"/>
      <c r="E39" s="1370"/>
      <c r="F39" s="1370"/>
      <c r="G39" s="1370"/>
      <c r="H39" s="1370"/>
      <c r="I39" s="1370"/>
      <c r="J39" s="1370"/>
      <c r="K39" s="1370"/>
      <c r="L39" s="1370"/>
      <c r="M39" s="1370"/>
      <c r="N39" s="1370"/>
      <c r="O39" s="1371"/>
    </row>
    <row r="40" spans="2:15">
      <c r="B40" s="1369"/>
      <c r="C40" s="1370"/>
      <c r="D40" s="1370"/>
      <c r="E40" s="1370"/>
      <c r="F40" s="1370"/>
      <c r="G40" s="1370"/>
      <c r="H40" s="1370"/>
      <c r="I40" s="1370"/>
      <c r="J40" s="1370"/>
      <c r="K40" s="1370"/>
      <c r="L40" s="1370"/>
      <c r="M40" s="1370"/>
      <c r="N40" s="1370"/>
      <c r="O40" s="1371"/>
    </row>
    <row r="41" spans="2:15">
      <c r="B41" s="1369"/>
      <c r="C41" s="1370"/>
      <c r="D41" s="1370"/>
      <c r="E41" s="1370"/>
      <c r="F41" s="1370"/>
      <c r="G41" s="1370"/>
      <c r="H41" s="1370"/>
      <c r="I41" s="1370"/>
      <c r="J41" s="1370"/>
      <c r="K41" s="1370"/>
      <c r="L41" s="1370"/>
      <c r="M41" s="1370"/>
      <c r="N41" s="1370"/>
      <c r="O41" s="1371"/>
    </row>
    <row r="42" spans="2:15">
      <c r="B42" s="1369"/>
      <c r="C42" s="1370"/>
      <c r="D42" s="1370"/>
      <c r="E42" s="1370"/>
      <c r="F42" s="1370"/>
      <c r="G42" s="1370"/>
      <c r="H42" s="1370"/>
      <c r="I42" s="1370"/>
      <c r="J42" s="1370"/>
      <c r="K42" s="1370"/>
      <c r="L42" s="1370"/>
      <c r="M42" s="1370"/>
      <c r="N42" s="1370"/>
      <c r="O42" s="1371"/>
    </row>
    <row r="43" spans="2:15">
      <c r="B43" s="1369"/>
      <c r="C43" s="1370"/>
      <c r="D43" s="1370"/>
      <c r="E43" s="1370"/>
      <c r="F43" s="1370"/>
      <c r="G43" s="1370"/>
      <c r="H43" s="1370"/>
      <c r="I43" s="1370"/>
      <c r="J43" s="1370"/>
      <c r="K43" s="1370"/>
      <c r="L43" s="1370"/>
      <c r="M43" s="1370"/>
      <c r="N43" s="1370"/>
      <c r="O43" s="1371"/>
    </row>
    <row r="44" spans="2:15">
      <c r="B44" s="1369"/>
      <c r="C44" s="1370"/>
      <c r="D44" s="1370"/>
      <c r="E44" s="1370"/>
      <c r="F44" s="1370"/>
      <c r="G44" s="1370"/>
      <c r="H44" s="1370"/>
      <c r="I44" s="1370"/>
      <c r="J44" s="1370"/>
      <c r="K44" s="1370"/>
      <c r="L44" s="1370"/>
      <c r="M44" s="1370"/>
      <c r="N44" s="1370"/>
      <c r="O44" s="1371"/>
    </row>
    <row r="45" spans="2:15">
      <c r="B45" s="1369"/>
      <c r="C45" s="1370"/>
      <c r="D45" s="1370"/>
      <c r="E45" s="1370"/>
      <c r="F45" s="1370"/>
      <c r="G45" s="1370"/>
      <c r="H45" s="1370"/>
      <c r="I45" s="1370"/>
      <c r="J45" s="1370"/>
      <c r="K45" s="1370"/>
      <c r="L45" s="1370"/>
      <c r="M45" s="1370"/>
      <c r="N45" s="1370"/>
      <c r="O45" s="1371"/>
    </row>
    <row r="46" spans="2:15">
      <c r="B46" s="1369"/>
      <c r="C46" s="1370"/>
      <c r="D46" s="1370"/>
      <c r="E46" s="1370"/>
      <c r="F46" s="1370"/>
      <c r="G46" s="1370"/>
      <c r="H46" s="1370"/>
      <c r="I46" s="1370"/>
      <c r="J46" s="1370"/>
      <c r="K46" s="1370"/>
      <c r="L46" s="1370"/>
      <c r="M46" s="1370"/>
      <c r="N46" s="1370"/>
      <c r="O46" s="1371"/>
    </row>
    <row r="47" spans="2:15">
      <c r="B47" s="1369"/>
      <c r="C47" s="1370"/>
      <c r="D47" s="1370"/>
      <c r="E47" s="1370"/>
      <c r="F47" s="1370"/>
      <c r="G47" s="1370"/>
      <c r="H47" s="1370"/>
      <c r="I47" s="1370"/>
      <c r="J47" s="1370"/>
      <c r="K47" s="1370"/>
      <c r="L47" s="1370"/>
      <c r="M47" s="1370"/>
      <c r="N47" s="1370"/>
      <c r="O47" s="1371"/>
    </row>
    <row r="48" spans="2:15">
      <c r="B48" s="1369"/>
      <c r="C48" s="1370"/>
      <c r="D48" s="1370"/>
      <c r="E48" s="1370"/>
      <c r="F48" s="1370"/>
      <c r="G48" s="1370"/>
      <c r="H48" s="1370"/>
      <c r="I48" s="1370"/>
      <c r="J48" s="1370"/>
      <c r="K48" s="1370"/>
      <c r="L48" s="1370"/>
      <c r="M48" s="1370"/>
      <c r="N48" s="1370"/>
      <c r="O48" s="1371"/>
    </row>
    <row r="49" spans="2:15">
      <c r="B49" s="1369"/>
      <c r="C49" s="1370"/>
      <c r="D49" s="1370"/>
      <c r="E49" s="1370"/>
      <c r="F49" s="1370"/>
      <c r="G49" s="1370"/>
      <c r="H49" s="1370"/>
      <c r="I49" s="1370"/>
      <c r="J49" s="1370"/>
      <c r="K49" s="1370"/>
      <c r="L49" s="1370"/>
      <c r="M49" s="1370"/>
      <c r="N49" s="1370"/>
      <c r="O49" s="1371"/>
    </row>
    <row r="50" spans="2:15">
      <c r="B50" s="1369"/>
      <c r="C50" s="1370"/>
      <c r="D50" s="1370"/>
      <c r="E50" s="1370"/>
      <c r="F50" s="1370"/>
      <c r="G50" s="1370"/>
      <c r="H50" s="1370"/>
      <c r="I50" s="1370"/>
      <c r="J50" s="1370"/>
      <c r="K50" s="1370"/>
      <c r="L50" s="1370"/>
      <c r="M50" s="1370"/>
      <c r="N50" s="1370"/>
      <c r="O50" s="1371"/>
    </row>
    <row r="51" spans="2:15">
      <c r="B51" s="1369"/>
      <c r="C51" s="1370"/>
      <c r="D51" s="1370"/>
      <c r="E51" s="1370"/>
      <c r="F51" s="1370"/>
      <c r="G51" s="1370"/>
      <c r="H51" s="1370"/>
      <c r="I51" s="1370"/>
      <c r="J51" s="1370"/>
      <c r="K51" s="1370"/>
      <c r="L51" s="1370"/>
      <c r="M51" s="1370"/>
      <c r="N51" s="1370"/>
      <c r="O51" s="1371"/>
    </row>
    <row r="52" spans="2:15">
      <c r="B52" s="1369"/>
      <c r="C52" s="1370"/>
      <c r="D52" s="1370"/>
      <c r="E52" s="1370"/>
      <c r="F52" s="1370"/>
      <c r="G52" s="1370"/>
      <c r="H52" s="1370"/>
      <c r="I52" s="1370"/>
      <c r="J52" s="1370"/>
      <c r="K52" s="1370"/>
      <c r="L52" s="1370"/>
      <c r="M52" s="1370"/>
      <c r="N52" s="1370"/>
      <c r="O52" s="1371"/>
    </row>
    <row r="53" spans="2:15">
      <c r="B53" s="1369"/>
      <c r="C53" s="1370"/>
      <c r="D53" s="1370"/>
      <c r="E53" s="1370"/>
      <c r="F53" s="1370"/>
      <c r="G53" s="1370"/>
      <c r="H53" s="1370"/>
      <c r="I53" s="1370"/>
      <c r="J53" s="1370"/>
      <c r="K53" s="1370"/>
      <c r="L53" s="1370"/>
      <c r="M53" s="1370"/>
      <c r="N53" s="1370"/>
      <c r="O53" s="1371"/>
    </row>
    <row r="54" spans="2:15">
      <c r="B54" s="1369"/>
      <c r="C54" s="1370"/>
      <c r="D54" s="1370"/>
      <c r="E54" s="1370"/>
      <c r="F54" s="1370"/>
      <c r="G54" s="1370"/>
      <c r="H54" s="1370"/>
      <c r="I54" s="1370"/>
      <c r="J54" s="1370"/>
      <c r="K54" s="1370"/>
      <c r="L54" s="1370"/>
      <c r="M54" s="1370"/>
      <c r="N54" s="1370"/>
      <c r="O54" s="1371"/>
    </row>
    <row r="55" spans="2:15">
      <c r="B55" s="1369"/>
      <c r="C55" s="1370"/>
      <c r="D55" s="1370"/>
      <c r="E55" s="1370"/>
      <c r="F55" s="1370"/>
      <c r="G55" s="1370"/>
      <c r="H55" s="1370"/>
      <c r="I55" s="1370"/>
      <c r="J55" s="1370"/>
      <c r="K55" s="1370"/>
      <c r="L55" s="1370"/>
      <c r="M55" s="1370"/>
      <c r="N55" s="1370"/>
      <c r="O55" s="1371"/>
    </row>
    <row r="56" spans="2:15">
      <c r="B56" s="1369"/>
      <c r="C56" s="1370"/>
      <c r="D56" s="1370"/>
      <c r="E56" s="1370"/>
      <c r="F56" s="1370"/>
      <c r="G56" s="1370"/>
      <c r="H56" s="1370"/>
      <c r="I56" s="1370"/>
      <c r="J56" s="1370"/>
      <c r="K56" s="1370"/>
      <c r="L56" s="1370"/>
      <c r="M56" s="1370"/>
      <c r="N56" s="1370"/>
      <c r="O56" s="1371"/>
    </row>
    <row r="57" spans="2:15">
      <c r="B57" s="1369"/>
      <c r="C57" s="1370"/>
      <c r="D57" s="1370"/>
      <c r="E57" s="1370"/>
      <c r="F57" s="1370"/>
      <c r="G57" s="1370"/>
      <c r="H57" s="1370"/>
      <c r="I57" s="1370"/>
      <c r="J57" s="1370"/>
      <c r="K57" s="1370"/>
      <c r="L57" s="1370"/>
      <c r="M57" s="1370"/>
      <c r="N57" s="1370"/>
      <c r="O57" s="1371"/>
    </row>
    <row r="58" spans="2:15">
      <c r="B58" s="1369"/>
      <c r="C58" s="1370"/>
      <c r="D58" s="1370"/>
      <c r="E58" s="1370"/>
      <c r="F58" s="1370"/>
      <c r="G58" s="1370"/>
      <c r="H58" s="1370"/>
      <c r="I58" s="1370"/>
      <c r="J58" s="1370"/>
      <c r="K58" s="1370"/>
      <c r="L58" s="1370"/>
      <c r="M58" s="1370"/>
      <c r="N58" s="1370"/>
      <c r="O58" s="1371"/>
    </row>
    <row r="59" spans="2:15">
      <c r="B59" s="1369"/>
      <c r="C59" s="1370"/>
      <c r="D59" s="1370"/>
      <c r="E59" s="1370"/>
      <c r="F59" s="1370"/>
      <c r="G59" s="1370"/>
      <c r="H59" s="1370"/>
      <c r="I59" s="1370"/>
      <c r="J59" s="1370"/>
      <c r="K59" s="1370"/>
      <c r="L59" s="1370"/>
      <c r="M59" s="1370"/>
      <c r="N59" s="1370"/>
      <c r="O59" s="1371"/>
    </row>
    <row r="60" spans="2:15">
      <c r="B60" s="1369"/>
      <c r="C60" s="1370"/>
      <c r="D60" s="1370"/>
      <c r="E60" s="1370"/>
      <c r="F60" s="1370"/>
      <c r="G60" s="1370"/>
      <c r="H60" s="1370"/>
      <c r="I60" s="1370"/>
      <c r="J60" s="1370"/>
      <c r="K60" s="1370"/>
      <c r="L60" s="1370"/>
      <c r="M60" s="1370"/>
      <c r="N60" s="1370"/>
      <c r="O60" s="1371"/>
    </row>
    <row r="61" spans="2:15">
      <c r="B61" s="1369"/>
      <c r="C61" s="1370"/>
      <c r="D61" s="1370"/>
      <c r="E61" s="1370"/>
      <c r="F61" s="1370"/>
      <c r="G61" s="1370"/>
      <c r="H61" s="1370"/>
      <c r="I61" s="1370"/>
      <c r="J61" s="1370"/>
      <c r="K61" s="1370"/>
      <c r="L61" s="1370"/>
      <c r="M61" s="1370"/>
      <c r="N61" s="1370"/>
      <c r="O61" s="1371"/>
    </row>
    <row r="62" spans="2:15">
      <c r="B62" s="1369"/>
      <c r="C62" s="1370"/>
      <c r="D62" s="1370"/>
      <c r="E62" s="1370"/>
      <c r="F62" s="1370"/>
      <c r="G62" s="1370"/>
      <c r="H62" s="1370"/>
      <c r="I62" s="1370"/>
      <c r="J62" s="1370"/>
      <c r="K62" s="1370"/>
      <c r="L62" s="1370"/>
      <c r="M62" s="1370"/>
      <c r="N62" s="1370"/>
      <c r="O62" s="1371"/>
    </row>
    <row r="63" spans="2:15">
      <c r="B63" s="1369"/>
      <c r="C63" s="1370"/>
      <c r="D63" s="1370"/>
      <c r="E63" s="1370"/>
      <c r="F63" s="1370"/>
      <c r="G63" s="1370"/>
      <c r="H63" s="1370"/>
      <c r="I63" s="1370"/>
      <c r="J63" s="1370"/>
      <c r="K63" s="1370"/>
      <c r="L63" s="1370"/>
      <c r="M63" s="1370"/>
      <c r="N63" s="1370"/>
      <c r="O63" s="1371"/>
    </row>
    <row r="64" spans="2:15">
      <c r="B64" s="1369"/>
      <c r="C64" s="1370"/>
      <c r="D64" s="1370"/>
      <c r="E64" s="1370"/>
      <c r="F64" s="1370"/>
      <c r="G64" s="1370"/>
      <c r="H64" s="1370"/>
      <c r="I64" s="1370"/>
      <c r="J64" s="1370"/>
      <c r="K64" s="1370"/>
      <c r="L64" s="1370"/>
      <c r="M64" s="1370"/>
      <c r="N64" s="1370"/>
      <c r="O64" s="1371"/>
    </row>
    <row r="65" spans="2:15">
      <c r="B65" s="1369"/>
      <c r="C65" s="1370"/>
      <c r="D65" s="1370"/>
      <c r="E65" s="1370"/>
      <c r="F65" s="1370"/>
      <c r="G65" s="1370"/>
      <c r="H65" s="1370"/>
      <c r="I65" s="1370"/>
      <c r="J65" s="1370"/>
      <c r="K65" s="1370"/>
      <c r="L65" s="1370"/>
      <c r="M65" s="1370"/>
      <c r="N65" s="1370"/>
      <c r="O65" s="1371"/>
    </row>
    <row r="66" spans="2:15">
      <c r="B66" s="1369"/>
      <c r="C66" s="1370"/>
      <c r="D66" s="1370"/>
      <c r="E66" s="1370"/>
      <c r="F66" s="1370"/>
      <c r="G66" s="1370"/>
      <c r="H66" s="1370"/>
      <c r="I66" s="1370"/>
      <c r="J66" s="1370"/>
      <c r="K66" s="1370"/>
      <c r="L66" s="1370"/>
      <c r="M66" s="1370"/>
      <c r="N66" s="1370"/>
      <c r="O66" s="1371"/>
    </row>
    <row r="67" spans="2:15">
      <c r="B67" s="1369"/>
      <c r="C67" s="1370"/>
      <c r="D67" s="1370"/>
      <c r="E67" s="1370"/>
      <c r="F67" s="1370"/>
      <c r="G67" s="1370"/>
      <c r="H67" s="1370"/>
      <c r="I67" s="1370"/>
      <c r="J67" s="1370"/>
      <c r="K67" s="1370"/>
      <c r="L67" s="1370"/>
      <c r="M67" s="1370"/>
      <c r="N67" s="1370"/>
      <c r="O67" s="1371"/>
    </row>
    <row r="68" spans="2:15">
      <c r="B68" s="1369"/>
      <c r="C68" s="1370"/>
      <c r="D68" s="1370"/>
      <c r="E68" s="1370"/>
      <c r="F68" s="1370"/>
      <c r="G68" s="1370"/>
      <c r="H68" s="1370"/>
      <c r="I68" s="1370"/>
      <c r="J68" s="1370"/>
      <c r="K68" s="1370"/>
      <c r="L68" s="1370"/>
      <c r="M68" s="1370"/>
      <c r="N68" s="1370"/>
      <c r="O68" s="1371"/>
    </row>
    <row r="69" spans="2:15">
      <c r="B69" s="1369"/>
      <c r="C69" s="1370"/>
      <c r="D69" s="1370"/>
      <c r="E69" s="1370"/>
      <c r="F69" s="1370"/>
      <c r="G69" s="1370"/>
      <c r="H69" s="1370"/>
      <c r="I69" s="1370"/>
      <c r="J69" s="1370"/>
      <c r="K69" s="1370"/>
      <c r="L69" s="1370"/>
      <c r="M69" s="1370"/>
      <c r="N69" s="1370"/>
      <c r="O69" s="1371"/>
    </row>
    <row r="70" spans="2:15">
      <c r="B70" s="1369"/>
      <c r="C70" s="1370"/>
      <c r="D70" s="1370"/>
      <c r="E70" s="1370"/>
      <c r="F70" s="1370"/>
      <c r="G70" s="1370"/>
      <c r="H70" s="1370"/>
      <c r="I70" s="1370"/>
      <c r="J70" s="1370"/>
      <c r="K70" s="1370"/>
      <c r="L70" s="1370"/>
      <c r="M70" s="1370"/>
      <c r="N70" s="1370"/>
      <c r="O70" s="1371"/>
    </row>
    <row r="71" spans="2:15">
      <c r="B71" s="1369"/>
      <c r="C71" s="1370"/>
      <c r="D71" s="1370"/>
      <c r="E71" s="1370"/>
      <c r="F71" s="1370"/>
      <c r="G71" s="1370"/>
      <c r="H71" s="1370"/>
      <c r="I71" s="1370"/>
      <c r="J71" s="1370"/>
      <c r="K71" s="1370"/>
      <c r="L71" s="1370"/>
      <c r="M71" s="1370"/>
      <c r="N71" s="1370"/>
      <c r="O71" s="1371"/>
    </row>
    <row r="72" spans="2:15">
      <c r="B72" s="1369"/>
      <c r="C72" s="1370"/>
      <c r="D72" s="1370"/>
      <c r="E72" s="1370"/>
      <c r="F72" s="1370"/>
      <c r="G72" s="1370"/>
      <c r="H72" s="1370"/>
      <c r="I72" s="1370"/>
      <c r="J72" s="1370"/>
      <c r="K72" s="1370"/>
      <c r="L72" s="1370"/>
      <c r="M72" s="1370"/>
      <c r="N72" s="1370"/>
      <c r="O72" s="1371"/>
    </row>
    <row r="73" spans="2:15">
      <c r="B73" s="1369"/>
      <c r="C73" s="1370"/>
      <c r="D73" s="1370"/>
      <c r="E73" s="1370"/>
      <c r="F73" s="1370"/>
      <c r="G73" s="1370"/>
      <c r="H73" s="1370"/>
      <c r="I73" s="1370"/>
      <c r="J73" s="1370"/>
      <c r="K73" s="1370"/>
      <c r="L73" s="1370"/>
      <c r="M73" s="1370"/>
      <c r="N73" s="1370"/>
      <c r="O73" s="1371"/>
    </row>
    <row r="74" spans="2:15">
      <c r="B74" s="1369"/>
      <c r="C74" s="1370"/>
      <c r="D74" s="1370"/>
      <c r="E74" s="1370"/>
      <c r="F74" s="1370"/>
      <c r="G74" s="1370"/>
      <c r="H74" s="1370"/>
      <c r="I74" s="1370"/>
      <c r="J74" s="1370"/>
      <c r="K74" s="1370"/>
      <c r="L74" s="1370"/>
      <c r="M74" s="1370"/>
      <c r="N74" s="1370"/>
      <c r="O74" s="1371"/>
    </row>
    <row r="75" spans="2:15">
      <c r="B75" s="1369"/>
      <c r="C75" s="1370"/>
      <c r="D75" s="1370"/>
      <c r="E75" s="1370"/>
      <c r="F75" s="1370"/>
      <c r="G75" s="1370"/>
      <c r="H75" s="1370"/>
      <c r="I75" s="1370"/>
      <c r="J75" s="1370"/>
      <c r="K75" s="1370"/>
      <c r="L75" s="1370"/>
      <c r="M75" s="1370"/>
      <c r="N75" s="1370"/>
      <c r="O75" s="1371"/>
    </row>
    <row r="76" spans="2:15">
      <c r="B76" s="1369"/>
      <c r="C76" s="1370"/>
      <c r="D76" s="1370"/>
      <c r="E76" s="1370"/>
      <c r="F76" s="1370"/>
      <c r="G76" s="1370"/>
      <c r="H76" s="1370"/>
      <c r="I76" s="1370"/>
      <c r="J76" s="1370"/>
      <c r="K76" s="1370"/>
      <c r="L76" s="1370"/>
      <c r="M76" s="1370"/>
      <c r="N76" s="1370"/>
      <c r="O76" s="1371"/>
    </row>
    <row r="77" spans="2:15">
      <c r="B77" s="1369"/>
      <c r="C77" s="1370"/>
      <c r="D77" s="1370"/>
      <c r="E77" s="1370"/>
      <c r="F77" s="1370"/>
      <c r="G77" s="1370"/>
      <c r="H77" s="1370"/>
      <c r="I77" s="1370"/>
      <c r="J77" s="1370"/>
      <c r="K77" s="1370"/>
      <c r="L77" s="1370"/>
      <c r="M77" s="1370"/>
      <c r="N77" s="1370"/>
      <c r="O77" s="1371"/>
    </row>
    <row r="78" spans="2:15">
      <c r="B78" s="1369"/>
      <c r="C78" s="1370"/>
      <c r="D78" s="1370"/>
      <c r="E78" s="1370"/>
      <c r="F78" s="1370"/>
      <c r="G78" s="1370"/>
      <c r="H78" s="1370"/>
      <c r="I78" s="1370"/>
      <c r="J78" s="1370"/>
      <c r="K78" s="1370"/>
      <c r="L78" s="1370"/>
      <c r="M78" s="1370"/>
      <c r="N78" s="1370"/>
      <c r="O78" s="1371"/>
    </row>
    <row r="79" spans="2:15">
      <c r="B79" s="1369"/>
      <c r="C79" s="1370"/>
      <c r="D79" s="1370"/>
      <c r="E79" s="1370"/>
      <c r="F79" s="1370"/>
      <c r="G79" s="1370"/>
      <c r="H79" s="1370"/>
      <c r="I79" s="1370"/>
      <c r="J79" s="1370"/>
      <c r="K79" s="1370"/>
      <c r="L79" s="1370"/>
      <c r="M79" s="1370"/>
      <c r="N79" s="1370"/>
      <c r="O79" s="1371"/>
    </row>
    <row r="80" spans="2:15">
      <c r="B80" s="1369"/>
      <c r="C80" s="1370"/>
      <c r="D80" s="1370"/>
      <c r="E80" s="1370"/>
      <c r="F80" s="1370"/>
      <c r="G80" s="1370"/>
      <c r="H80" s="1370"/>
      <c r="I80" s="1370"/>
      <c r="J80" s="1370"/>
      <c r="K80" s="1370"/>
      <c r="L80" s="1370"/>
      <c r="M80" s="1370"/>
      <c r="N80" s="1370"/>
      <c r="O80" s="1371"/>
    </row>
    <row r="81" spans="2:15">
      <c r="B81" s="1369"/>
      <c r="C81" s="1370"/>
      <c r="D81" s="1370"/>
      <c r="E81" s="1370"/>
      <c r="F81" s="1370"/>
      <c r="G81" s="1370"/>
      <c r="H81" s="1370"/>
      <c r="I81" s="1370"/>
      <c r="J81" s="1370"/>
      <c r="K81" s="1370"/>
      <c r="L81" s="1370"/>
      <c r="M81" s="1370"/>
      <c r="N81" s="1370"/>
      <c r="O81" s="1371"/>
    </row>
    <row r="82" spans="2:15">
      <c r="B82" s="1369"/>
      <c r="C82" s="1370"/>
      <c r="D82" s="1370"/>
      <c r="E82" s="1370"/>
      <c r="F82" s="1370"/>
      <c r="G82" s="1370"/>
      <c r="H82" s="1370"/>
      <c r="I82" s="1370"/>
      <c r="J82" s="1370"/>
      <c r="K82" s="1370"/>
      <c r="L82" s="1370"/>
      <c r="M82" s="1370"/>
      <c r="N82" s="1370"/>
      <c r="O82" s="1371"/>
    </row>
    <row r="83" spans="2:15">
      <c r="B83" s="1369"/>
      <c r="C83" s="1370"/>
      <c r="D83" s="1370"/>
      <c r="E83" s="1370"/>
      <c r="F83" s="1370"/>
      <c r="G83" s="1370"/>
      <c r="H83" s="1370"/>
      <c r="I83" s="1370"/>
      <c r="J83" s="1370"/>
      <c r="K83" s="1370"/>
      <c r="L83" s="1370"/>
      <c r="M83" s="1370"/>
      <c r="N83" s="1370"/>
      <c r="O83" s="1371"/>
    </row>
    <row r="84" spans="2:15">
      <c r="B84" s="1369"/>
      <c r="C84" s="1370"/>
      <c r="D84" s="1370"/>
      <c r="E84" s="1370"/>
      <c r="F84" s="1370"/>
      <c r="G84" s="1370"/>
      <c r="H84" s="1370"/>
      <c r="I84" s="1370"/>
      <c r="J84" s="1370"/>
      <c r="K84" s="1370"/>
      <c r="L84" s="1370"/>
      <c r="M84" s="1370"/>
      <c r="N84" s="1370"/>
      <c r="O84" s="1371"/>
    </row>
    <row r="85" spans="2:15">
      <c r="B85" s="1369"/>
      <c r="C85" s="1370"/>
      <c r="D85" s="1370"/>
      <c r="E85" s="1370"/>
      <c r="F85" s="1370"/>
      <c r="G85" s="1370"/>
      <c r="H85" s="1370"/>
      <c r="I85" s="1370"/>
      <c r="J85" s="1370"/>
      <c r="K85" s="1370"/>
      <c r="L85" s="1370"/>
      <c r="M85" s="1370"/>
      <c r="N85" s="1370"/>
      <c r="O85" s="1371"/>
    </row>
    <row r="86" spans="2:15">
      <c r="B86" s="1369"/>
      <c r="C86" s="1370"/>
      <c r="D86" s="1370"/>
      <c r="E86" s="1370"/>
      <c r="F86" s="1370"/>
      <c r="G86" s="1370"/>
      <c r="H86" s="1370"/>
      <c r="I86" s="1370"/>
      <c r="J86" s="1370"/>
      <c r="K86" s="1370"/>
      <c r="L86" s="1370"/>
      <c r="M86" s="1370"/>
      <c r="N86" s="1370"/>
      <c r="O86" s="1371"/>
    </row>
    <row r="87" spans="2:15">
      <c r="B87" s="1369"/>
      <c r="C87" s="1370"/>
      <c r="D87" s="1370"/>
      <c r="E87" s="1370"/>
      <c r="F87" s="1370"/>
      <c r="G87" s="1370"/>
      <c r="H87" s="1370"/>
      <c r="I87" s="1370"/>
      <c r="J87" s="1370"/>
      <c r="K87" s="1370"/>
      <c r="L87" s="1370"/>
      <c r="M87" s="1370"/>
      <c r="N87" s="1370"/>
      <c r="O87" s="1371"/>
    </row>
    <row r="88" spans="2:15">
      <c r="B88" s="1369"/>
      <c r="C88" s="1370"/>
      <c r="D88" s="1370"/>
      <c r="E88" s="1370"/>
      <c r="F88" s="1370"/>
      <c r="G88" s="1370"/>
      <c r="H88" s="1370"/>
      <c r="I88" s="1370"/>
      <c r="J88" s="1370"/>
      <c r="K88" s="1370"/>
      <c r="L88" s="1370"/>
      <c r="M88" s="1370"/>
      <c r="N88" s="1370"/>
      <c r="O88" s="1371"/>
    </row>
    <row r="89" spans="2:15">
      <c r="B89" s="1369"/>
      <c r="C89" s="1370"/>
      <c r="D89" s="1370"/>
      <c r="E89" s="1370"/>
      <c r="F89" s="1370"/>
      <c r="G89" s="1370"/>
      <c r="H89" s="1370"/>
      <c r="I89" s="1370"/>
      <c r="J89" s="1370"/>
      <c r="K89" s="1370"/>
      <c r="L89" s="1370"/>
      <c r="M89" s="1370"/>
      <c r="N89" s="1370"/>
      <c r="O89" s="1371"/>
    </row>
    <row r="90" spans="2:15">
      <c r="B90" s="1369"/>
      <c r="C90" s="1370"/>
      <c r="D90" s="1370"/>
      <c r="E90" s="1370"/>
      <c r="F90" s="1370"/>
      <c r="G90" s="1370"/>
      <c r="H90" s="1370"/>
      <c r="I90" s="1370"/>
      <c r="J90" s="1370"/>
      <c r="K90" s="1370"/>
      <c r="L90" s="1370"/>
      <c r="M90" s="1370"/>
      <c r="N90" s="1370"/>
      <c r="O90" s="1371"/>
    </row>
    <row r="91" spans="2:15">
      <c r="B91" s="1369"/>
      <c r="C91" s="1370"/>
      <c r="D91" s="1370"/>
      <c r="E91" s="1370"/>
      <c r="F91" s="1370"/>
      <c r="G91" s="1370"/>
      <c r="H91" s="1370"/>
      <c r="I91" s="1370"/>
      <c r="J91" s="1370"/>
      <c r="K91" s="1370"/>
      <c r="L91" s="1370"/>
      <c r="M91" s="1370"/>
      <c r="N91" s="1370"/>
      <c r="O91" s="1371"/>
    </row>
    <row r="92" spans="2:15">
      <c r="B92" s="1369"/>
      <c r="C92" s="1370"/>
      <c r="D92" s="1370"/>
      <c r="E92" s="1370"/>
      <c r="F92" s="1370"/>
      <c r="G92" s="1370"/>
      <c r="H92" s="1370"/>
      <c r="I92" s="1370"/>
      <c r="J92" s="1370"/>
      <c r="K92" s="1370"/>
      <c r="L92" s="1370"/>
      <c r="M92" s="1370"/>
      <c r="N92" s="1370"/>
      <c r="O92" s="1371"/>
    </row>
    <row r="93" spans="2:15">
      <c r="B93" s="1369"/>
      <c r="C93" s="1370"/>
      <c r="D93" s="1370"/>
      <c r="E93" s="1370"/>
      <c r="F93" s="1370"/>
      <c r="G93" s="1370"/>
      <c r="H93" s="1370"/>
      <c r="I93" s="1370"/>
      <c r="J93" s="1370"/>
      <c r="K93" s="1370"/>
      <c r="L93" s="1370"/>
      <c r="M93" s="1370"/>
      <c r="N93" s="1370"/>
      <c r="O93" s="1371"/>
    </row>
    <row r="94" spans="2:15">
      <c r="B94" s="1369"/>
      <c r="C94" s="1370"/>
      <c r="D94" s="1370"/>
      <c r="E94" s="1370"/>
      <c r="F94" s="1370"/>
      <c r="G94" s="1370"/>
      <c r="H94" s="1370"/>
      <c r="I94" s="1370"/>
      <c r="J94" s="1370"/>
      <c r="K94" s="1370"/>
      <c r="L94" s="1370"/>
      <c r="M94" s="1370"/>
      <c r="N94" s="1370"/>
      <c r="O94" s="1371"/>
    </row>
    <row r="95" spans="2:15">
      <c r="B95" s="1369"/>
      <c r="C95" s="1370"/>
      <c r="D95" s="1370"/>
      <c r="E95" s="1370"/>
      <c r="F95" s="1370"/>
      <c r="G95" s="1370"/>
      <c r="H95" s="1370"/>
      <c r="I95" s="1370"/>
      <c r="J95" s="1370"/>
      <c r="K95" s="1370"/>
      <c r="L95" s="1370"/>
      <c r="M95" s="1370"/>
      <c r="N95" s="1370"/>
      <c r="O95" s="1371"/>
    </row>
    <row r="96" spans="2:15">
      <c r="B96" s="1369"/>
      <c r="C96" s="1370"/>
      <c r="D96" s="1370"/>
      <c r="E96" s="1370"/>
      <c r="F96" s="1370"/>
      <c r="G96" s="1370"/>
      <c r="H96" s="1370"/>
      <c r="I96" s="1370"/>
      <c r="J96" s="1370"/>
      <c r="K96" s="1370"/>
      <c r="L96" s="1370"/>
      <c r="M96" s="1370"/>
      <c r="N96" s="1370"/>
      <c r="O96" s="1371"/>
    </row>
    <row r="97" spans="2:15">
      <c r="B97" s="1369"/>
      <c r="C97" s="1370"/>
      <c r="D97" s="1370"/>
      <c r="E97" s="1370"/>
      <c r="F97" s="1370"/>
      <c r="G97" s="1370"/>
      <c r="H97" s="1370"/>
      <c r="I97" s="1370"/>
      <c r="J97" s="1370"/>
      <c r="K97" s="1370"/>
      <c r="L97" s="1370"/>
      <c r="M97" s="1370"/>
      <c r="N97" s="1370"/>
      <c r="O97" s="1371"/>
    </row>
    <row r="98" spans="2:15">
      <c r="B98" s="1369"/>
      <c r="C98" s="1370"/>
      <c r="D98" s="1370"/>
      <c r="E98" s="1370"/>
      <c r="F98" s="1370"/>
      <c r="G98" s="1370"/>
      <c r="H98" s="1370"/>
      <c r="I98" s="1370"/>
      <c r="J98" s="1370"/>
      <c r="K98" s="1370"/>
      <c r="L98" s="1370"/>
      <c r="M98" s="1370"/>
      <c r="N98" s="1370"/>
      <c r="O98" s="1371"/>
    </row>
    <row r="99" spans="2:15">
      <c r="B99" s="1369"/>
      <c r="C99" s="1370"/>
      <c r="D99" s="1370"/>
      <c r="E99" s="1370"/>
      <c r="F99" s="1370"/>
      <c r="G99" s="1370"/>
      <c r="H99" s="1370"/>
      <c r="I99" s="1370"/>
      <c r="J99" s="1370"/>
      <c r="K99" s="1370"/>
      <c r="L99" s="1370"/>
      <c r="M99" s="1370"/>
      <c r="N99" s="1370"/>
      <c r="O99" s="1371"/>
    </row>
    <row r="100" spans="2:15">
      <c r="B100" s="1369"/>
      <c r="C100" s="1370"/>
      <c r="D100" s="1370"/>
      <c r="E100" s="1370"/>
      <c r="F100" s="1370"/>
      <c r="G100" s="1370"/>
      <c r="H100" s="1370"/>
      <c r="I100" s="1370"/>
      <c r="J100" s="1370"/>
      <c r="K100" s="1370"/>
      <c r="L100" s="1370"/>
      <c r="M100" s="1370"/>
      <c r="N100" s="1370"/>
      <c r="O100" s="1371"/>
    </row>
    <row r="101" spans="2:15">
      <c r="B101" s="1369"/>
      <c r="C101" s="1370"/>
      <c r="D101" s="1370"/>
      <c r="E101" s="1370"/>
      <c r="F101" s="1370"/>
      <c r="G101" s="1370"/>
      <c r="H101" s="1370"/>
      <c r="I101" s="1370"/>
      <c r="J101" s="1370"/>
      <c r="K101" s="1370"/>
      <c r="L101" s="1370"/>
      <c r="M101" s="1370"/>
      <c r="N101" s="1370"/>
      <c r="O101" s="1371"/>
    </row>
    <row r="102" spans="2:15">
      <c r="B102" s="1369"/>
      <c r="C102" s="1370"/>
      <c r="D102" s="1370"/>
      <c r="E102" s="1370"/>
      <c r="F102" s="1370"/>
      <c r="G102" s="1370"/>
      <c r="H102" s="1370"/>
      <c r="I102" s="1370"/>
      <c r="J102" s="1370"/>
      <c r="K102" s="1370"/>
      <c r="L102" s="1370"/>
      <c r="M102" s="1370"/>
      <c r="N102" s="1370"/>
      <c r="O102" s="1371"/>
    </row>
    <row r="103" spans="2:15">
      <c r="B103" s="1369"/>
      <c r="C103" s="1370"/>
      <c r="D103" s="1370"/>
      <c r="E103" s="1370"/>
      <c r="F103" s="1370"/>
      <c r="G103" s="1370"/>
      <c r="H103" s="1370"/>
      <c r="I103" s="1370"/>
      <c r="J103" s="1370"/>
      <c r="K103" s="1370"/>
      <c r="L103" s="1370"/>
      <c r="M103" s="1370"/>
      <c r="N103" s="1370"/>
      <c r="O103" s="1371"/>
    </row>
    <row r="104" spans="2:15">
      <c r="B104" s="1369"/>
      <c r="C104" s="1370"/>
      <c r="D104" s="1370"/>
      <c r="E104" s="1370"/>
      <c r="F104" s="1370"/>
      <c r="G104" s="1370"/>
      <c r="H104" s="1370"/>
      <c r="I104" s="1370"/>
      <c r="J104" s="1370"/>
      <c r="K104" s="1370"/>
      <c r="L104" s="1370"/>
      <c r="M104" s="1370"/>
      <c r="N104" s="1370"/>
      <c r="O104" s="1371"/>
    </row>
    <row r="105" spans="2:15">
      <c r="B105" s="1369"/>
      <c r="C105" s="1370"/>
      <c r="D105" s="1370"/>
      <c r="E105" s="1370"/>
      <c r="F105" s="1370"/>
      <c r="G105" s="1370"/>
      <c r="H105" s="1370"/>
      <c r="I105" s="1370"/>
      <c r="J105" s="1370"/>
      <c r="K105" s="1370"/>
      <c r="L105" s="1370"/>
      <c r="M105" s="1370"/>
      <c r="N105" s="1370"/>
      <c r="O105" s="1371"/>
    </row>
    <row r="106" spans="2:15">
      <c r="B106" s="1369"/>
      <c r="C106" s="1370"/>
      <c r="D106" s="1370"/>
      <c r="E106" s="1370"/>
      <c r="F106" s="1370"/>
      <c r="G106" s="1370"/>
      <c r="H106" s="1370"/>
      <c r="I106" s="1370"/>
      <c r="J106" s="1370"/>
      <c r="K106" s="1370"/>
      <c r="L106" s="1370"/>
      <c r="M106" s="1370"/>
      <c r="N106" s="1370"/>
      <c r="O106" s="1371"/>
    </row>
    <row r="107" spans="2:15">
      <c r="B107" s="1369"/>
      <c r="C107" s="1370"/>
      <c r="D107" s="1370"/>
      <c r="E107" s="1370"/>
      <c r="F107" s="1370"/>
      <c r="G107" s="1370"/>
      <c r="H107" s="1370"/>
      <c r="I107" s="1370"/>
      <c r="J107" s="1370"/>
      <c r="K107" s="1370"/>
      <c r="L107" s="1370"/>
      <c r="M107" s="1370"/>
      <c r="N107" s="1370"/>
      <c r="O107" s="1371"/>
    </row>
    <row r="108" spans="2:15">
      <c r="B108" s="1369"/>
      <c r="C108" s="1370"/>
      <c r="D108" s="1370"/>
      <c r="E108" s="1370"/>
      <c r="F108" s="1370"/>
      <c r="G108" s="1370"/>
      <c r="H108" s="1370"/>
      <c r="I108" s="1370"/>
      <c r="J108" s="1370"/>
      <c r="K108" s="1370"/>
      <c r="L108" s="1370"/>
      <c r="M108" s="1370"/>
      <c r="N108" s="1370"/>
      <c r="O108" s="1371"/>
    </row>
    <row r="109" spans="2:15">
      <c r="B109" s="1369"/>
      <c r="C109" s="1370"/>
      <c r="D109" s="1370"/>
      <c r="E109" s="1370"/>
      <c r="F109" s="1370"/>
      <c r="G109" s="1370"/>
      <c r="H109" s="1370"/>
      <c r="I109" s="1370"/>
      <c r="J109" s="1370"/>
      <c r="K109" s="1370"/>
      <c r="L109" s="1370"/>
      <c r="M109" s="1370"/>
      <c r="N109" s="1370"/>
      <c r="O109" s="1371"/>
    </row>
    <row r="110" spans="2:15">
      <c r="B110" s="1369"/>
      <c r="C110" s="1370"/>
      <c r="D110" s="1370"/>
      <c r="E110" s="1370"/>
      <c r="F110" s="1370"/>
      <c r="G110" s="1370"/>
      <c r="H110" s="1370"/>
      <c r="I110" s="1370"/>
      <c r="J110" s="1370"/>
      <c r="K110" s="1370"/>
      <c r="L110" s="1370"/>
      <c r="M110" s="1370"/>
      <c r="N110" s="1370"/>
      <c r="O110" s="1371"/>
    </row>
    <row r="111" spans="2:15">
      <c r="B111" s="1369"/>
      <c r="C111" s="1370"/>
      <c r="D111" s="1370"/>
      <c r="E111" s="1370"/>
      <c r="F111" s="1370"/>
      <c r="G111" s="1370"/>
      <c r="H111" s="1370"/>
      <c r="I111" s="1370"/>
      <c r="J111" s="1370"/>
      <c r="K111" s="1370"/>
      <c r="L111" s="1370"/>
      <c r="M111" s="1370"/>
      <c r="N111" s="1370"/>
      <c r="O111" s="1371"/>
    </row>
    <row r="112" spans="2:15">
      <c r="B112" s="1369"/>
      <c r="C112" s="1370"/>
      <c r="D112" s="1370"/>
      <c r="E112" s="1370"/>
      <c r="F112" s="1370"/>
      <c r="G112" s="1370"/>
      <c r="H112" s="1370"/>
      <c r="I112" s="1370"/>
      <c r="J112" s="1370"/>
      <c r="K112" s="1370"/>
      <c r="L112" s="1370"/>
      <c r="M112" s="1370"/>
      <c r="N112" s="1370"/>
      <c r="O112" s="1371"/>
    </row>
    <row r="113" spans="2:15">
      <c r="B113" s="1369"/>
      <c r="C113" s="1370"/>
      <c r="D113" s="1370"/>
      <c r="E113" s="1370"/>
      <c r="F113" s="1370"/>
      <c r="G113" s="1370"/>
      <c r="H113" s="1370"/>
      <c r="I113" s="1370"/>
      <c r="J113" s="1370"/>
      <c r="K113" s="1370"/>
      <c r="L113" s="1370"/>
      <c r="M113" s="1370"/>
      <c r="N113" s="1370"/>
      <c r="O113" s="1371"/>
    </row>
    <row r="114" spans="2:15">
      <c r="B114" s="1369"/>
      <c r="C114" s="1370"/>
      <c r="D114" s="1370"/>
      <c r="E114" s="1370"/>
      <c r="F114" s="1370"/>
      <c r="G114" s="1370"/>
      <c r="H114" s="1370"/>
      <c r="I114" s="1370"/>
      <c r="J114" s="1370"/>
      <c r="K114" s="1370"/>
      <c r="L114" s="1370"/>
      <c r="M114" s="1370"/>
      <c r="N114" s="1370"/>
      <c r="O114" s="1371"/>
    </row>
    <row r="115" spans="2:15">
      <c r="B115" s="1369"/>
      <c r="C115" s="1370"/>
      <c r="D115" s="1370"/>
      <c r="E115" s="1370"/>
      <c r="F115" s="1370"/>
      <c r="G115" s="1370"/>
      <c r="H115" s="1370"/>
      <c r="I115" s="1370"/>
      <c r="J115" s="1370"/>
      <c r="K115" s="1370"/>
      <c r="L115" s="1370"/>
      <c r="M115" s="1370"/>
      <c r="N115" s="1370"/>
      <c r="O115" s="1371"/>
    </row>
    <row r="116" spans="2:15">
      <c r="B116" s="1369"/>
      <c r="C116" s="1370"/>
      <c r="D116" s="1370"/>
      <c r="E116" s="1370"/>
      <c r="F116" s="1370"/>
      <c r="G116" s="1370"/>
      <c r="H116" s="1370"/>
      <c r="I116" s="1370"/>
      <c r="J116" s="1370"/>
      <c r="K116" s="1370"/>
      <c r="L116" s="1370"/>
      <c r="M116" s="1370"/>
      <c r="N116" s="1370"/>
      <c r="O116" s="1371"/>
    </row>
    <row r="117" spans="2:15">
      <c r="B117" s="1369"/>
      <c r="C117" s="1370"/>
      <c r="D117" s="1370"/>
      <c r="E117" s="1370"/>
      <c r="F117" s="1370"/>
      <c r="G117" s="1370"/>
      <c r="H117" s="1370"/>
      <c r="I117" s="1370"/>
      <c r="J117" s="1370"/>
      <c r="K117" s="1370"/>
      <c r="L117" s="1370"/>
      <c r="M117" s="1370"/>
      <c r="N117" s="1370"/>
      <c r="O117" s="1371"/>
    </row>
    <row r="118" spans="2:15">
      <c r="B118" s="1369"/>
      <c r="C118" s="1370"/>
      <c r="D118" s="1370"/>
      <c r="E118" s="1370"/>
      <c r="F118" s="1370"/>
      <c r="G118" s="1370"/>
      <c r="H118" s="1370"/>
      <c r="I118" s="1370"/>
      <c r="J118" s="1370"/>
      <c r="K118" s="1370"/>
      <c r="L118" s="1370"/>
      <c r="M118" s="1370"/>
      <c r="N118" s="1370"/>
      <c r="O118" s="1371"/>
    </row>
    <row r="119" spans="2:15">
      <c r="B119" s="1369"/>
      <c r="C119" s="1370"/>
      <c r="D119" s="1370"/>
      <c r="E119" s="1370"/>
      <c r="F119" s="1370"/>
      <c r="G119" s="1370"/>
      <c r="H119" s="1370"/>
      <c r="I119" s="1370"/>
      <c r="J119" s="1370"/>
      <c r="K119" s="1370"/>
      <c r="L119" s="1370"/>
      <c r="M119" s="1370"/>
      <c r="N119" s="1370"/>
      <c r="O119" s="1371"/>
    </row>
    <row r="120" spans="2:15">
      <c r="B120" s="1369"/>
      <c r="C120" s="1370"/>
      <c r="D120" s="1370"/>
      <c r="E120" s="1370"/>
      <c r="F120" s="1370"/>
      <c r="G120" s="1370"/>
      <c r="H120" s="1370"/>
      <c r="I120" s="1370"/>
      <c r="J120" s="1370"/>
      <c r="K120" s="1370"/>
      <c r="L120" s="1370"/>
      <c r="M120" s="1370"/>
      <c r="N120" s="1370"/>
      <c r="O120" s="1371"/>
    </row>
    <row r="121" spans="2:15">
      <c r="B121" s="1369"/>
      <c r="C121" s="1370"/>
      <c r="D121" s="1370"/>
      <c r="E121" s="1370"/>
      <c r="F121" s="1370"/>
      <c r="G121" s="1370"/>
      <c r="H121" s="1370"/>
      <c r="I121" s="1370"/>
      <c r="J121" s="1370"/>
      <c r="K121" s="1370"/>
      <c r="L121" s="1370"/>
      <c r="M121" s="1370"/>
      <c r="N121" s="1370"/>
      <c r="O121" s="1371"/>
    </row>
    <row r="122" spans="2:15">
      <c r="B122" s="1369"/>
      <c r="C122" s="1370"/>
      <c r="D122" s="1370"/>
      <c r="E122" s="1370"/>
      <c r="F122" s="1370"/>
      <c r="G122" s="1370"/>
      <c r="H122" s="1370"/>
      <c r="I122" s="1370"/>
      <c r="J122" s="1370"/>
      <c r="K122" s="1370"/>
      <c r="L122" s="1370"/>
      <c r="M122" s="1370"/>
      <c r="N122" s="1370"/>
      <c r="O122" s="1371"/>
    </row>
    <row r="123" spans="2:15">
      <c r="B123" s="1369"/>
      <c r="C123" s="1370"/>
      <c r="D123" s="1370"/>
      <c r="E123" s="1370"/>
      <c r="F123" s="1370"/>
      <c r="G123" s="1370"/>
      <c r="H123" s="1370"/>
      <c r="I123" s="1370"/>
      <c r="J123" s="1370"/>
      <c r="K123" s="1370"/>
      <c r="L123" s="1370"/>
      <c r="M123" s="1370"/>
      <c r="N123" s="1370"/>
      <c r="O123" s="1371"/>
    </row>
    <row r="124" spans="2:15">
      <c r="B124" s="1369"/>
      <c r="C124" s="1370"/>
      <c r="D124" s="1370"/>
      <c r="E124" s="1370"/>
      <c r="F124" s="1370"/>
      <c r="G124" s="1370"/>
      <c r="H124" s="1370"/>
      <c r="I124" s="1370"/>
      <c r="J124" s="1370"/>
      <c r="K124" s="1370"/>
      <c r="L124" s="1370"/>
      <c r="M124" s="1370"/>
      <c r="N124" s="1370"/>
      <c r="O124" s="1371"/>
    </row>
    <row r="125" spans="2:15">
      <c r="B125" s="1369"/>
      <c r="C125" s="1370"/>
      <c r="D125" s="1370"/>
      <c r="E125" s="1370"/>
      <c r="F125" s="1370"/>
      <c r="G125" s="1370"/>
      <c r="H125" s="1370"/>
      <c r="I125" s="1370"/>
      <c r="J125" s="1370"/>
      <c r="K125" s="1370"/>
      <c r="L125" s="1370"/>
      <c r="M125" s="1370"/>
      <c r="N125" s="1370"/>
      <c r="O125" s="1371"/>
    </row>
    <row r="126" spans="2:15">
      <c r="B126" s="1369"/>
      <c r="C126" s="1370"/>
      <c r="D126" s="1370"/>
      <c r="E126" s="1370"/>
      <c r="F126" s="1370"/>
      <c r="G126" s="1370"/>
      <c r="H126" s="1370"/>
      <c r="I126" s="1370"/>
      <c r="J126" s="1370"/>
      <c r="K126" s="1370"/>
      <c r="L126" s="1370"/>
      <c r="M126" s="1370"/>
      <c r="N126" s="1370"/>
      <c r="O126" s="1371"/>
    </row>
    <row r="127" spans="2:15">
      <c r="B127" s="1369"/>
      <c r="C127" s="1370"/>
      <c r="D127" s="1370"/>
      <c r="E127" s="1370"/>
      <c r="F127" s="1370"/>
      <c r="G127" s="1370"/>
      <c r="H127" s="1370"/>
      <c r="I127" s="1370"/>
      <c r="J127" s="1370"/>
      <c r="K127" s="1370"/>
      <c r="L127" s="1370"/>
      <c r="M127" s="1370"/>
      <c r="N127" s="1370"/>
      <c r="O127" s="1371"/>
    </row>
    <row r="128" spans="2:15">
      <c r="B128" s="1369"/>
      <c r="C128" s="1370"/>
      <c r="D128" s="1370"/>
      <c r="E128" s="1370"/>
      <c r="F128" s="1370"/>
      <c r="G128" s="1370"/>
      <c r="H128" s="1370"/>
      <c r="I128" s="1370"/>
      <c r="J128" s="1370"/>
      <c r="K128" s="1370"/>
      <c r="L128" s="1370"/>
      <c r="M128" s="1370"/>
      <c r="N128" s="1370"/>
      <c r="O128" s="1371"/>
    </row>
    <row r="129" spans="2:15">
      <c r="B129" s="1369"/>
      <c r="C129" s="1370"/>
      <c r="D129" s="1370"/>
      <c r="E129" s="1370"/>
      <c r="F129" s="1370"/>
      <c r="G129" s="1370"/>
      <c r="H129" s="1370"/>
      <c r="I129" s="1370"/>
      <c r="J129" s="1370"/>
      <c r="K129" s="1370"/>
      <c r="L129" s="1370"/>
      <c r="M129" s="1370"/>
      <c r="N129" s="1370"/>
      <c r="O129" s="1371"/>
    </row>
    <row r="130" spans="2:15">
      <c r="B130" s="1369"/>
      <c r="C130" s="1370"/>
      <c r="D130" s="1370"/>
      <c r="E130" s="1370"/>
      <c r="F130" s="1370"/>
      <c r="G130" s="1370"/>
      <c r="H130" s="1370"/>
      <c r="I130" s="1370"/>
      <c r="J130" s="1370"/>
      <c r="K130" s="1370"/>
      <c r="L130" s="1370"/>
      <c r="M130" s="1370"/>
      <c r="N130" s="1370"/>
      <c r="O130" s="1371"/>
    </row>
    <row r="131" spans="2:15">
      <c r="B131" s="1369"/>
      <c r="C131" s="1370"/>
      <c r="D131" s="1370"/>
      <c r="E131" s="1370"/>
      <c r="F131" s="1370"/>
      <c r="G131" s="1370"/>
      <c r="H131" s="1370"/>
      <c r="I131" s="1370"/>
      <c r="J131" s="1370"/>
      <c r="K131" s="1370"/>
      <c r="L131" s="1370"/>
      <c r="M131" s="1370"/>
      <c r="N131" s="1370"/>
      <c r="O131" s="1371"/>
    </row>
    <row r="132" spans="2:15">
      <c r="B132" s="1369"/>
      <c r="C132" s="1370"/>
      <c r="D132" s="1370"/>
      <c r="E132" s="1370"/>
      <c r="F132" s="1370"/>
      <c r="G132" s="1370"/>
      <c r="H132" s="1370"/>
      <c r="I132" s="1370"/>
      <c r="J132" s="1370"/>
      <c r="K132" s="1370"/>
      <c r="L132" s="1370"/>
      <c r="M132" s="1370"/>
      <c r="N132" s="1370"/>
      <c r="O132" s="1371"/>
    </row>
    <row r="133" spans="2:15">
      <c r="B133" s="1369"/>
      <c r="C133" s="1370"/>
      <c r="D133" s="1370"/>
      <c r="E133" s="1370"/>
      <c r="F133" s="1370"/>
      <c r="G133" s="1370"/>
      <c r="H133" s="1370"/>
      <c r="I133" s="1370"/>
      <c r="J133" s="1370"/>
      <c r="K133" s="1370"/>
      <c r="L133" s="1370"/>
      <c r="M133" s="1370"/>
      <c r="N133" s="1370"/>
      <c r="O133" s="1371"/>
    </row>
    <row r="134" spans="2:15">
      <c r="B134" s="1369"/>
      <c r="C134" s="1370"/>
      <c r="D134" s="1370"/>
      <c r="E134" s="1370"/>
      <c r="F134" s="1370"/>
      <c r="G134" s="1370"/>
      <c r="H134" s="1370"/>
      <c r="I134" s="1370"/>
      <c r="J134" s="1370"/>
      <c r="K134" s="1370"/>
      <c r="L134" s="1370"/>
      <c r="M134" s="1370"/>
      <c r="N134" s="1370"/>
      <c r="O134" s="1371"/>
    </row>
    <row r="135" spans="2:15">
      <c r="B135" s="1369"/>
      <c r="C135" s="1370"/>
      <c r="D135" s="1370"/>
      <c r="E135" s="1370"/>
      <c r="F135" s="1370"/>
      <c r="G135" s="1370"/>
      <c r="H135" s="1370"/>
      <c r="I135" s="1370"/>
      <c r="J135" s="1370"/>
      <c r="K135" s="1370"/>
      <c r="L135" s="1370"/>
      <c r="M135" s="1370"/>
      <c r="N135" s="1370"/>
      <c r="O135" s="1371"/>
    </row>
    <row r="136" spans="2:15">
      <c r="B136" s="1369"/>
      <c r="C136" s="1370"/>
      <c r="D136" s="1370"/>
      <c r="E136" s="1370"/>
      <c r="F136" s="1370"/>
      <c r="G136" s="1370"/>
      <c r="H136" s="1370"/>
      <c r="I136" s="1370"/>
      <c r="J136" s="1370"/>
      <c r="K136" s="1370"/>
      <c r="L136" s="1370"/>
      <c r="M136" s="1370"/>
      <c r="N136" s="1370"/>
      <c r="O136" s="1371"/>
    </row>
    <row r="137" spans="2:15">
      <c r="B137" s="1369"/>
      <c r="C137" s="1370"/>
      <c r="D137" s="1370"/>
      <c r="E137" s="1370"/>
      <c r="F137" s="1370"/>
      <c r="G137" s="1370"/>
      <c r="H137" s="1370"/>
      <c r="I137" s="1370"/>
      <c r="J137" s="1370"/>
      <c r="K137" s="1370"/>
      <c r="L137" s="1370"/>
      <c r="M137" s="1370"/>
      <c r="N137" s="1370"/>
      <c r="O137" s="1371"/>
    </row>
    <row r="138" spans="2:15">
      <c r="B138" s="1369"/>
      <c r="C138" s="1370"/>
      <c r="D138" s="1370"/>
      <c r="E138" s="1370"/>
      <c r="F138" s="1370"/>
      <c r="G138" s="1370"/>
      <c r="H138" s="1370"/>
      <c r="I138" s="1370"/>
      <c r="J138" s="1370"/>
      <c r="K138" s="1370"/>
      <c r="L138" s="1370"/>
      <c r="M138" s="1370"/>
      <c r="N138" s="1370"/>
      <c r="O138" s="1371"/>
    </row>
    <row r="139" spans="2:15">
      <c r="B139" s="1369"/>
      <c r="C139" s="1370"/>
      <c r="D139" s="1370"/>
      <c r="E139" s="1370"/>
      <c r="F139" s="1370"/>
      <c r="G139" s="1370"/>
      <c r="H139" s="1370"/>
      <c r="I139" s="1370"/>
      <c r="J139" s="1370"/>
      <c r="K139" s="1370"/>
      <c r="L139" s="1370"/>
      <c r="M139" s="1370"/>
      <c r="N139" s="1370"/>
      <c r="O139" s="1371"/>
    </row>
    <row r="140" spans="2:15">
      <c r="B140" s="1369"/>
      <c r="C140" s="1370"/>
      <c r="D140" s="1370"/>
      <c r="E140" s="1370"/>
      <c r="F140" s="1370"/>
      <c r="G140" s="1370"/>
      <c r="H140" s="1370"/>
      <c r="I140" s="1370"/>
      <c r="J140" s="1370"/>
      <c r="K140" s="1370"/>
      <c r="L140" s="1370"/>
      <c r="M140" s="1370"/>
      <c r="N140" s="1370"/>
      <c r="O140" s="1371"/>
    </row>
    <row r="141" spans="2:15">
      <c r="B141" s="1369"/>
      <c r="C141" s="1370"/>
      <c r="D141" s="1370"/>
      <c r="E141" s="1370"/>
      <c r="F141" s="1370"/>
      <c r="G141" s="1370"/>
      <c r="H141" s="1370"/>
      <c r="I141" s="1370"/>
      <c r="J141" s="1370"/>
      <c r="K141" s="1370"/>
      <c r="L141" s="1370"/>
      <c r="M141" s="1370"/>
      <c r="N141" s="1370"/>
      <c r="O141" s="1371"/>
    </row>
    <row r="142" spans="2:15">
      <c r="B142" s="1369"/>
      <c r="C142" s="1370"/>
      <c r="D142" s="1370"/>
      <c r="E142" s="1370"/>
      <c r="F142" s="1370"/>
      <c r="G142" s="1370"/>
      <c r="H142" s="1370"/>
      <c r="I142" s="1370"/>
      <c r="J142" s="1370"/>
      <c r="K142" s="1370"/>
      <c r="L142" s="1370"/>
      <c r="M142" s="1370"/>
      <c r="N142" s="1370"/>
      <c r="O142" s="1371"/>
    </row>
    <row r="143" spans="2:15">
      <c r="B143" s="1369"/>
      <c r="C143" s="1370"/>
      <c r="D143" s="1370"/>
      <c r="E143" s="1370"/>
      <c r="F143" s="1370"/>
      <c r="G143" s="1370"/>
      <c r="H143" s="1370"/>
      <c r="I143" s="1370"/>
      <c r="J143" s="1370"/>
      <c r="K143" s="1370"/>
      <c r="L143" s="1370"/>
      <c r="M143" s="1370"/>
      <c r="N143" s="1370"/>
      <c r="O143" s="1371"/>
    </row>
    <row r="144" spans="2:15">
      <c r="B144" s="1369"/>
      <c r="C144" s="1370"/>
      <c r="D144" s="1370"/>
      <c r="E144" s="1370"/>
      <c r="F144" s="1370"/>
      <c r="G144" s="1370"/>
      <c r="H144" s="1370"/>
      <c r="I144" s="1370"/>
      <c r="J144" s="1370"/>
      <c r="K144" s="1370"/>
      <c r="L144" s="1370"/>
      <c r="M144" s="1370"/>
      <c r="N144" s="1370"/>
      <c r="O144" s="1371"/>
    </row>
    <row r="145" spans="2:15">
      <c r="B145" s="1369"/>
      <c r="C145" s="1370"/>
      <c r="D145" s="1370"/>
      <c r="E145" s="1370"/>
      <c r="F145" s="1370"/>
      <c r="G145" s="1370"/>
      <c r="H145" s="1370"/>
      <c r="I145" s="1370"/>
      <c r="J145" s="1370"/>
      <c r="K145" s="1370"/>
      <c r="L145" s="1370"/>
      <c r="M145" s="1370"/>
      <c r="N145" s="1370"/>
      <c r="O145" s="1371"/>
    </row>
    <row r="146" spans="2:15">
      <c r="B146" s="1369"/>
      <c r="C146" s="1370"/>
      <c r="D146" s="1370"/>
      <c r="E146" s="1370"/>
      <c r="F146" s="1370"/>
      <c r="G146" s="1370"/>
      <c r="H146" s="1370"/>
      <c r="I146" s="1370"/>
      <c r="J146" s="1370"/>
      <c r="K146" s="1370"/>
      <c r="L146" s="1370"/>
      <c r="M146" s="1370"/>
      <c r="N146" s="1370"/>
      <c r="O146" s="1371"/>
    </row>
    <row r="147" spans="2:15">
      <c r="B147" s="1369"/>
      <c r="C147" s="1370"/>
      <c r="D147" s="1370"/>
      <c r="E147" s="1370"/>
      <c r="F147" s="1370"/>
      <c r="G147" s="1370"/>
      <c r="H147" s="1370"/>
      <c r="I147" s="1370"/>
      <c r="J147" s="1370"/>
      <c r="K147" s="1370"/>
      <c r="L147" s="1370"/>
      <c r="M147" s="1370"/>
      <c r="N147" s="1370"/>
      <c r="O147" s="1371"/>
    </row>
    <row r="148" spans="2:15">
      <c r="B148" s="1369"/>
      <c r="C148" s="1370"/>
      <c r="D148" s="1370"/>
      <c r="E148" s="1370"/>
      <c r="F148" s="1370"/>
      <c r="G148" s="1370"/>
      <c r="H148" s="1370"/>
      <c r="I148" s="1370"/>
      <c r="J148" s="1370"/>
      <c r="K148" s="1370"/>
      <c r="L148" s="1370"/>
      <c r="M148" s="1370"/>
      <c r="N148" s="1370"/>
      <c r="O148" s="1371"/>
    </row>
    <row r="149" spans="2:15">
      <c r="B149" s="1369"/>
      <c r="C149" s="1370"/>
      <c r="D149" s="1370"/>
      <c r="E149" s="1370"/>
      <c r="F149" s="1370"/>
      <c r="G149" s="1370"/>
      <c r="H149" s="1370"/>
      <c r="I149" s="1370"/>
      <c r="J149" s="1370"/>
      <c r="K149" s="1370"/>
      <c r="L149" s="1370"/>
      <c r="M149" s="1370"/>
      <c r="N149" s="1370"/>
      <c r="O149" s="1371"/>
    </row>
    <row r="150" spans="2:15">
      <c r="B150" s="1369"/>
      <c r="C150" s="1370"/>
      <c r="D150" s="1370"/>
      <c r="E150" s="1370"/>
      <c r="F150" s="1370"/>
      <c r="G150" s="1370"/>
      <c r="H150" s="1370"/>
      <c r="I150" s="1370"/>
      <c r="J150" s="1370"/>
      <c r="K150" s="1370"/>
      <c r="L150" s="1370"/>
      <c r="M150" s="1370"/>
      <c r="N150" s="1370"/>
      <c r="O150" s="1371"/>
    </row>
    <row r="151" spans="2:15">
      <c r="B151" s="1369"/>
      <c r="C151" s="1370"/>
      <c r="D151" s="1370"/>
      <c r="E151" s="1370"/>
      <c r="F151" s="1370"/>
      <c r="G151" s="1370"/>
      <c r="H151" s="1370"/>
      <c r="I151" s="1370"/>
      <c r="J151" s="1370"/>
      <c r="K151" s="1370"/>
      <c r="L151" s="1370"/>
      <c r="M151" s="1370"/>
      <c r="N151" s="1370"/>
      <c r="O151" s="1371"/>
    </row>
    <row r="152" spans="2:15">
      <c r="B152" s="1369"/>
      <c r="C152" s="1370"/>
      <c r="D152" s="1370"/>
      <c r="E152" s="1370"/>
      <c r="F152" s="1370"/>
      <c r="G152" s="1370"/>
      <c r="H152" s="1370"/>
      <c r="I152" s="1370"/>
      <c r="J152" s="1370"/>
      <c r="K152" s="1370"/>
      <c r="L152" s="1370"/>
      <c r="M152" s="1370"/>
      <c r="N152" s="1370"/>
      <c r="O152" s="1371"/>
    </row>
    <row r="153" spans="2:15">
      <c r="B153" s="1369"/>
      <c r="C153" s="1370"/>
      <c r="D153" s="1370"/>
      <c r="E153" s="1370"/>
      <c r="F153" s="1370"/>
      <c r="G153" s="1370"/>
      <c r="H153" s="1370"/>
      <c r="I153" s="1370"/>
      <c r="J153" s="1370"/>
      <c r="K153" s="1370"/>
      <c r="L153" s="1370"/>
      <c r="M153" s="1370"/>
      <c r="N153" s="1370"/>
      <c r="O153" s="1371"/>
    </row>
    <row r="154" spans="2:15">
      <c r="B154" s="1369"/>
      <c r="C154" s="1370"/>
      <c r="D154" s="1370"/>
      <c r="E154" s="1370"/>
      <c r="F154" s="1370"/>
      <c r="G154" s="1370"/>
      <c r="H154" s="1370"/>
      <c r="I154" s="1370"/>
      <c r="J154" s="1370"/>
      <c r="K154" s="1370"/>
      <c r="L154" s="1370"/>
      <c r="M154" s="1370"/>
      <c r="N154" s="1370"/>
      <c r="O154" s="1371"/>
    </row>
    <row r="155" spans="2:15">
      <c r="B155" s="1369"/>
      <c r="C155" s="1370"/>
      <c r="D155" s="1370"/>
      <c r="E155" s="1370"/>
      <c r="F155" s="1370"/>
      <c r="G155" s="1370"/>
      <c r="H155" s="1370"/>
      <c r="I155" s="1370"/>
      <c r="J155" s="1370"/>
      <c r="K155" s="1370"/>
      <c r="L155" s="1370"/>
      <c r="M155" s="1370"/>
      <c r="N155" s="1370"/>
      <c r="O155" s="1371"/>
    </row>
    <row r="156" spans="2:15">
      <c r="B156" s="1369"/>
      <c r="C156" s="1370"/>
      <c r="D156" s="1370"/>
      <c r="E156" s="1370"/>
      <c r="F156" s="1370"/>
      <c r="G156" s="1370"/>
      <c r="H156" s="1370"/>
      <c r="I156" s="1370"/>
      <c r="J156" s="1370"/>
      <c r="K156" s="1370"/>
      <c r="L156" s="1370"/>
      <c r="M156" s="1370"/>
      <c r="N156" s="1370"/>
      <c r="O156" s="1371"/>
    </row>
    <row r="157" spans="2:15">
      <c r="B157" s="1369"/>
      <c r="C157" s="1370"/>
      <c r="D157" s="1370"/>
      <c r="E157" s="1370"/>
      <c r="F157" s="1370"/>
      <c r="G157" s="1370"/>
      <c r="H157" s="1370"/>
      <c r="I157" s="1370"/>
      <c r="J157" s="1370"/>
      <c r="K157" s="1370"/>
      <c r="L157" s="1370"/>
      <c r="M157" s="1370"/>
      <c r="N157" s="1370"/>
      <c r="O157" s="1371"/>
    </row>
    <row r="158" spans="2:15">
      <c r="B158" s="1369"/>
      <c r="C158" s="1370"/>
      <c r="D158" s="1370"/>
      <c r="E158" s="1370"/>
      <c r="F158" s="1370"/>
      <c r="G158" s="1370"/>
      <c r="H158" s="1370"/>
      <c r="I158" s="1370"/>
      <c r="J158" s="1370"/>
      <c r="K158" s="1370"/>
      <c r="L158" s="1370"/>
      <c r="M158" s="1370"/>
      <c r="N158" s="1370"/>
      <c r="O158" s="1371"/>
    </row>
    <row r="159" spans="2:15">
      <c r="B159" s="1369"/>
      <c r="C159" s="1370"/>
      <c r="D159" s="1370"/>
      <c r="E159" s="1370"/>
      <c r="F159" s="1370"/>
      <c r="G159" s="1370"/>
      <c r="H159" s="1370"/>
      <c r="I159" s="1370"/>
      <c r="J159" s="1370"/>
      <c r="K159" s="1370"/>
      <c r="L159" s="1370"/>
      <c r="M159" s="1370"/>
      <c r="N159" s="1370"/>
      <c r="O159" s="1371"/>
    </row>
    <row r="160" spans="2:15">
      <c r="B160" s="1369"/>
      <c r="C160" s="1370"/>
      <c r="D160" s="1370"/>
      <c r="E160" s="1370"/>
      <c r="F160" s="1370"/>
      <c r="G160" s="1370"/>
      <c r="H160" s="1370"/>
      <c r="I160" s="1370"/>
      <c r="J160" s="1370"/>
      <c r="K160" s="1370"/>
      <c r="L160" s="1370"/>
      <c r="M160" s="1370"/>
      <c r="N160" s="1370"/>
      <c r="O160" s="1371"/>
    </row>
    <row r="161" spans="2:15">
      <c r="B161" s="1369"/>
      <c r="C161" s="1370"/>
      <c r="D161" s="1370"/>
      <c r="E161" s="1370"/>
      <c r="F161" s="1370"/>
      <c r="G161" s="1370"/>
      <c r="H161" s="1370"/>
      <c r="I161" s="1370"/>
      <c r="J161" s="1370"/>
      <c r="K161" s="1370"/>
      <c r="L161" s="1370"/>
      <c r="M161" s="1370"/>
      <c r="N161" s="1370"/>
      <c r="O161" s="1371"/>
    </row>
    <row r="162" spans="2:15">
      <c r="B162" s="1369"/>
      <c r="C162" s="1370"/>
      <c r="D162" s="1370"/>
      <c r="E162" s="1370"/>
      <c r="F162" s="1370"/>
      <c r="G162" s="1370"/>
      <c r="H162" s="1370"/>
      <c r="I162" s="1370"/>
      <c r="J162" s="1370"/>
      <c r="K162" s="1370"/>
      <c r="L162" s="1370"/>
      <c r="M162" s="1370"/>
      <c r="N162" s="1370"/>
      <c r="O162" s="1371"/>
    </row>
    <row r="163" spans="2:15">
      <c r="B163" s="1369"/>
      <c r="C163" s="1370"/>
      <c r="D163" s="1370"/>
      <c r="E163" s="1370"/>
      <c r="F163" s="1370"/>
      <c r="G163" s="1370"/>
      <c r="H163" s="1370"/>
      <c r="I163" s="1370"/>
      <c r="J163" s="1370"/>
      <c r="K163" s="1370"/>
      <c r="L163" s="1370"/>
      <c r="M163" s="1370"/>
      <c r="N163" s="1370"/>
      <c r="O163" s="1371"/>
    </row>
    <row r="164" spans="2:15">
      <c r="B164" s="1369"/>
      <c r="C164" s="1370"/>
      <c r="D164" s="1370"/>
      <c r="E164" s="1370"/>
      <c r="F164" s="1370"/>
      <c r="G164" s="1370"/>
      <c r="H164" s="1370"/>
      <c r="I164" s="1370"/>
      <c r="J164" s="1370"/>
      <c r="K164" s="1370"/>
      <c r="L164" s="1370"/>
      <c r="M164" s="1370"/>
      <c r="N164" s="1370"/>
      <c r="O164" s="1371"/>
    </row>
    <row r="165" spans="2:15">
      <c r="B165" s="1369"/>
      <c r="C165" s="1370"/>
      <c r="D165" s="1370"/>
      <c r="E165" s="1370"/>
      <c r="F165" s="1370"/>
      <c r="G165" s="1370"/>
      <c r="H165" s="1370"/>
      <c r="I165" s="1370"/>
      <c r="J165" s="1370"/>
      <c r="K165" s="1370"/>
      <c r="L165" s="1370"/>
      <c r="M165" s="1370"/>
      <c r="N165" s="1370"/>
      <c r="O165" s="1371"/>
    </row>
    <row r="166" spans="2:15">
      <c r="B166" s="1369"/>
      <c r="C166" s="1370"/>
      <c r="D166" s="1370"/>
      <c r="E166" s="1370"/>
      <c r="F166" s="1370"/>
      <c r="G166" s="1370"/>
      <c r="H166" s="1370"/>
      <c r="I166" s="1370"/>
      <c r="J166" s="1370"/>
      <c r="K166" s="1370"/>
      <c r="L166" s="1370"/>
      <c r="M166" s="1370"/>
      <c r="N166" s="1370"/>
      <c r="O166" s="1371"/>
    </row>
    <row r="167" spans="2:15">
      <c r="B167" s="1369"/>
      <c r="C167" s="1370"/>
      <c r="D167" s="1370"/>
      <c r="E167" s="1370"/>
      <c r="F167" s="1370"/>
      <c r="G167" s="1370"/>
      <c r="H167" s="1370"/>
      <c r="I167" s="1370"/>
      <c r="J167" s="1370"/>
      <c r="K167" s="1370"/>
      <c r="L167" s="1370"/>
      <c r="M167" s="1370"/>
      <c r="N167" s="1370"/>
      <c r="O167" s="1371"/>
    </row>
    <row r="168" spans="2:15">
      <c r="B168" s="1369"/>
      <c r="C168" s="1370"/>
      <c r="D168" s="1370"/>
      <c r="E168" s="1370"/>
      <c r="F168" s="1370"/>
      <c r="G168" s="1370"/>
      <c r="H168" s="1370"/>
      <c r="I168" s="1370"/>
      <c r="J168" s="1370"/>
      <c r="K168" s="1370"/>
      <c r="L168" s="1370"/>
      <c r="M168" s="1370"/>
      <c r="N168" s="1370"/>
      <c r="O168" s="1371"/>
    </row>
    <row r="169" spans="2:15">
      <c r="B169" s="1369"/>
      <c r="C169" s="1370"/>
      <c r="D169" s="1370"/>
      <c r="E169" s="1370"/>
      <c r="F169" s="1370"/>
      <c r="G169" s="1370"/>
      <c r="H169" s="1370"/>
      <c r="I169" s="1370"/>
      <c r="J169" s="1370"/>
      <c r="K169" s="1370"/>
      <c r="L169" s="1370"/>
      <c r="M169" s="1370"/>
      <c r="N169" s="1370"/>
      <c r="O169" s="1371"/>
    </row>
    <row r="170" spans="2:15">
      <c r="B170" s="1369"/>
      <c r="C170" s="1370"/>
      <c r="D170" s="1370"/>
      <c r="E170" s="1370"/>
      <c r="F170" s="1370"/>
      <c r="G170" s="1370"/>
      <c r="H170" s="1370"/>
      <c r="I170" s="1370"/>
      <c r="J170" s="1370"/>
      <c r="K170" s="1370"/>
      <c r="L170" s="1370"/>
      <c r="M170" s="1370"/>
      <c r="N170" s="1370"/>
      <c r="O170" s="1371"/>
    </row>
    <row r="171" spans="2:15">
      <c r="B171" s="1369"/>
      <c r="C171" s="1370"/>
      <c r="D171" s="1370"/>
      <c r="E171" s="1370"/>
      <c r="F171" s="1370"/>
      <c r="G171" s="1370"/>
      <c r="H171" s="1370"/>
      <c r="I171" s="1370"/>
      <c r="J171" s="1370"/>
      <c r="K171" s="1370"/>
      <c r="L171" s="1370"/>
      <c r="M171" s="1370"/>
      <c r="N171" s="1370"/>
      <c r="O171" s="1371"/>
    </row>
    <row r="172" spans="2:15">
      <c r="B172" s="1369"/>
      <c r="C172" s="1370"/>
      <c r="D172" s="1370"/>
      <c r="E172" s="1370"/>
      <c r="F172" s="1370"/>
      <c r="G172" s="1370"/>
      <c r="H172" s="1370"/>
      <c r="I172" s="1370"/>
      <c r="J172" s="1370"/>
      <c r="K172" s="1370"/>
      <c r="L172" s="1370"/>
      <c r="M172" s="1370"/>
      <c r="N172" s="1370"/>
      <c r="O172" s="1371"/>
    </row>
    <row r="173" spans="2:15">
      <c r="B173" s="1369"/>
      <c r="C173" s="1370"/>
      <c r="D173" s="1370"/>
      <c r="E173" s="1370"/>
      <c r="F173" s="1370"/>
      <c r="G173" s="1370"/>
      <c r="H173" s="1370"/>
      <c r="I173" s="1370"/>
      <c r="J173" s="1370"/>
      <c r="K173" s="1370"/>
      <c r="L173" s="1370"/>
      <c r="M173" s="1370"/>
      <c r="N173" s="1370"/>
      <c r="O173" s="1371"/>
    </row>
    <row r="174" spans="2:15">
      <c r="B174" s="1369"/>
      <c r="C174" s="1370"/>
      <c r="D174" s="1370"/>
      <c r="E174" s="1370"/>
      <c r="F174" s="1370"/>
      <c r="G174" s="1370"/>
      <c r="H174" s="1370"/>
      <c r="I174" s="1370"/>
      <c r="J174" s="1370"/>
      <c r="K174" s="1370"/>
      <c r="L174" s="1370"/>
      <c r="M174" s="1370"/>
      <c r="N174" s="1370"/>
      <c r="O174" s="1371"/>
    </row>
    <row r="175" spans="2:15">
      <c r="B175" s="1369"/>
      <c r="C175" s="1370"/>
      <c r="D175" s="1370"/>
      <c r="E175" s="1370"/>
      <c r="F175" s="1370"/>
      <c r="G175" s="1370"/>
      <c r="H175" s="1370"/>
      <c r="I175" s="1370"/>
      <c r="J175" s="1370"/>
      <c r="K175" s="1370"/>
      <c r="L175" s="1370"/>
      <c r="M175" s="1370"/>
      <c r="N175" s="1370"/>
      <c r="O175" s="1371"/>
    </row>
    <row r="176" spans="2:15">
      <c r="B176" s="1369"/>
      <c r="C176" s="1370"/>
      <c r="D176" s="1370"/>
      <c r="E176" s="1370"/>
      <c r="F176" s="1370"/>
      <c r="G176" s="1370"/>
      <c r="H176" s="1370"/>
      <c r="I176" s="1370"/>
      <c r="J176" s="1370"/>
      <c r="K176" s="1370"/>
      <c r="L176" s="1370"/>
      <c r="M176" s="1370"/>
      <c r="N176" s="1370"/>
      <c r="O176" s="1371"/>
    </row>
    <row r="177" spans="2:15">
      <c r="B177" s="1369"/>
      <c r="C177" s="1370"/>
      <c r="D177" s="1370"/>
      <c r="E177" s="1370"/>
      <c r="F177" s="1370"/>
      <c r="G177" s="1370"/>
      <c r="H177" s="1370"/>
      <c r="I177" s="1370"/>
      <c r="J177" s="1370"/>
      <c r="K177" s="1370"/>
      <c r="L177" s="1370"/>
      <c r="M177" s="1370"/>
      <c r="N177" s="1370"/>
      <c r="O177" s="1371"/>
    </row>
    <row r="178" spans="2:15">
      <c r="B178" s="1369"/>
      <c r="C178" s="1370"/>
      <c r="D178" s="1370"/>
      <c r="E178" s="1370"/>
      <c r="F178" s="1370"/>
      <c r="G178" s="1370"/>
      <c r="H178" s="1370"/>
      <c r="I178" s="1370"/>
      <c r="J178" s="1370"/>
      <c r="K178" s="1370"/>
      <c r="L178" s="1370"/>
      <c r="M178" s="1370"/>
      <c r="N178" s="1370"/>
      <c r="O178" s="1371"/>
    </row>
    <row r="179" spans="2:15">
      <c r="B179" s="1369"/>
      <c r="C179" s="1370"/>
      <c r="D179" s="1370"/>
      <c r="E179" s="1370"/>
      <c r="F179" s="1370"/>
      <c r="G179" s="1370"/>
      <c r="H179" s="1370"/>
      <c r="I179" s="1370"/>
      <c r="J179" s="1370"/>
      <c r="K179" s="1370"/>
      <c r="L179" s="1370"/>
      <c r="M179" s="1370"/>
      <c r="N179" s="1370"/>
      <c r="O179" s="1371"/>
    </row>
    <row r="180" spans="2:15">
      <c r="B180" s="1369"/>
      <c r="C180" s="1370"/>
      <c r="D180" s="1370"/>
      <c r="E180" s="1370"/>
      <c r="F180" s="1370"/>
      <c r="G180" s="1370"/>
      <c r="H180" s="1370"/>
      <c r="I180" s="1370"/>
      <c r="J180" s="1370"/>
      <c r="K180" s="1370"/>
      <c r="L180" s="1370"/>
      <c r="M180" s="1370"/>
      <c r="N180" s="1370"/>
      <c r="O180" s="1371"/>
    </row>
    <row r="181" spans="2:15">
      <c r="B181" s="1369"/>
      <c r="C181" s="1370"/>
      <c r="D181" s="1370"/>
      <c r="E181" s="1370"/>
      <c r="F181" s="1370"/>
      <c r="G181" s="1370"/>
      <c r="H181" s="1370"/>
      <c r="I181" s="1370"/>
      <c r="J181" s="1370"/>
      <c r="K181" s="1370"/>
      <c r="L181" s="1370"/>
      <c r="M181" s="1370"/>
      <c r="N181" s="1370"/>
      <c r="O181" s="1371"/>
    </row>
    <row r="182" spans="2:15">
      <c r="B182" s="1369"/>
      <c r="C182" s="1370"/>
      <c r="D182" s="1370"/>
      <c r="E182" s="1370"/>
      <c r="F182" s="1370"/>
      <c r="G182" s="1370"/>
      <c r="H182" s="1370"/>
      <c r="I182" s="1370"/>
      <c r="J182" s="1370"/>
      <c r="K182" s="1370"/>
      <c r="L182" s="1370"/>
      <c r="M182" s="1370"/>
      <c r="N182" s="1370"/>
      <c r="O182" s="1371"/>
    </row>
    <row r="183" spans="2:15">
      <c r="B183" s="1369"/>
      <c r="C183" s="1370"/>
      <c r="D183" s="1370"/>
      <c r="E183" s="1370"/>
      <c r="F183" s="1370"/>
      <c r="G183" s="1370"/>
      <c r="H183" s="1370"/>
      <c r="I183" s="1370"/>
      <c r="J183" s="1370"/>
      <c r="K183" s="1370"/>
      <c r="L183" s="1370"/>
      <c r="M183" s="1370"/>
      <c r="N183" s="1370"/>
      <c r="O183" s="1371"/>
    </row>
    <row r="184" spans="2:15">
      <c r="B184" s="1369"/>
      <c r="C184" s="1370"/>
      <c r="D184" s="1370"/>
      <c r="E184" s="1370"/>
      <c r="F184" s="1370"/>
      <c r="G184" s="1370"/>
      <c r="H184" s="1370"/>
      <c r="I184" s="1370"/>
      <c r="J184" s="1370"/>
      <c r="K184" s="1370"/>
      <c r="L184" s="1370"/>
      <c r="M184" s="1370"/>
      <c r="N184" s="1370"/>
      <c r="O184" s="1371"/>
    </row>
    <row r="185" spans="2:15">
      <c r="B185" s="1369"/>
      <c r="C185" s="1370"/>
      <c r="D185" s="1370"/>
      <c r="E185" s="1370"/>
      <c r="F185" s="1370"/>
      <c r="G185" s="1370"/>
      <c r="H185" s="1370"/>
      <c r="I185" s="1370"/>
      <c r="J185" s="1370"/>
      <c r="K185" s="1370"/>
      <c r="L185" s="1370"/>
      <c r="M185" s="1370"/>
      <c r="N185" s="1370"/>
      <c r="O185" s="1371"/>
    </row>
    <row r="186" spans="2:15">
      <c r="B186" s="1369"/>
      <c r="C186" s="1370"/>
      <c r="D186" s="1370"/>
      <c r="E186" s="1370"/>
      <c r="F186" s="1370"/>
      <c r="G186" s="1370"/>
      <c r="H186" s="1370"/>
      <c r="I186" s="1370"/>
      <c r="J186" s="1370"/>
      <c r="K186" s="1370"/>
      <c r="L186" s="1370"/>
      <c r="M186" s="1370"/>
      <c r="N186" s="1370"/>
      <c r="O186" s="1371"/>
    </row>
    <row r="187" spans="2:15">
      <c r="B187" s="1369"/>
      <c r="C187" s="1370"/>
      <c r="D187" s="1370"/>
      <c r="E187" s="1370"/>
      <c r="F187" s="1370"/>
      <c r="G187" s="1370"/>
      <c r="H187" s="1370"/>
      <c r="I187" s="1370"/>
      <c r="J187" s="1370"/>
      <c r="K187" s="1370"/>
      <c r="L187" s="1370"/>
      <c r="M187" s="1370"/>
      <c r="N187" s="1370"/>
      <c r="O187" s="1371"/>
    </row>
    <row r="188" spans="2:15">
      <c r="B188" s="1369"/>
      <c r="C188" s="1370"/>
      <c r="D188" s="1370"/>
      <c r="E188" s="1370"/>
      <c r="F188" s="1370"/>
      <c r="G188" s="1370"/>
      <c r="H188" s="1370"/>
      <c r="I188" s="1370"/>
      <c r="J188" s="1370"/>
      <c r="K188" s="1370"/>
      <c r="L188" s="1370"/>
      <c r="M188" s="1370"/>
      <c r="N188" s="1370"/>
      <c r="O188" s="1371"/>
    </row>
    <row r="189" spans="2:15">
      <c r="B189" s="1369"/>
      <c r="C189" s="1370"/>
      <c r="D189" s="1370"/>
      <c r="E189" s="1370"/>
      <c r="F189" s="1370"/>
      <c r="G189" s="1370"/>
      <c r="H189" s="1370"/>
      <c r="I189" s="1370"/>
      <c r="J189" s="1370"/>
      <c r="K189" s="1370"/>
      <c r="L189" s="1370"/>
      <c r="M189" s="1370"/>
      <c r="N189" s="1370"/>
      <c r="O189" s="1371"/>
    </row>
    <row r="190" spans="2:15">
      <c r="B190" s="1369"/>
      <c r="C190" s="1370"/>
      <c r="D190" s="1370"/>
      <c r="E190" s="1370"/>
      <c r="F190" s="1370"/>
      <c r="G190" s="1370"/>
      <c r="H190" s="1370"/>
      <c r="I190" s="1370"/>
      <c r="J190" s="1370"/>
      <c r="K190" s="1370"/>
      <c r="L190" s="1370"/>
      <c r="M190" s="1370"/>
      <c r="N190" s="1370"/>
      <c r="O190" s="1371"/>
    </row>
    <row r="191" spans="2:15">
      <c r="B191" s="1369"/>
      <c r="C191" s="1370"/>
      <c r="D191" s="1370"/>
      <c r="E191" s="1370"/>
      <c r="F191" s="1370"/>
      <c r="G191" s="1370"/>
      <c r="H191" s="1370"/>
      <c r="I191" s="1370"/>
      <c r="J191" s="1370"/>
      <c r="K191" s="1370"/>
      <c r="L191" s="1370"/>
      <c r="M191" s="1370"/>
      <c r="N191" s="1370"/>
      <c r="O191" s="1371"/>
    </row>
    <row r="192" spans="2:15">
      <c r="B192" s="1369"/>
      <c r="C192" s="1370"/>
      <c r="D192" s="1370"/>
      <c r="E192" s="1370"/>
      <c r="F192" s="1370"/>
      <c r="G192" s="1370"/>
      <c r="H192" s="1370"/>
      <c r="I192" s="1370"/>
      <c r="J192" s="1370"/>
      <c r="K192" s="1370"/>
      <c r="L192" s="1370"/>
      <c r="M192" s="1370"/>
      <c r="N192" s="1370"/>
      <c r="O192" s="1371"/>
    </row>
    <row r="193" spans="2:15">
      <c r="B193" s="1369"/>
      <c r="C193" s="1370"/>
      <c r="D193" s="1370"/>
      <c r="E193" s="1370"/>
      <c r="F193" s="1370"/>
      <c r="G193" s="1370"/>
      <c r="H193" s="1370"/>
      <c r="I193" s="1370"/>
      <c r="J193" s="1370"/>
      <c r="K193" s="1370"/>
      <c r="L193" s="1370"/>
      <c r="M193" s="1370"/>
      <c r="N193" s="1370"/>
      <c r="O193" s="1371"/>
    </row>
    <row r="194" spans="2:15">
      <c r="B194" s="1369"/>
      <c r="C194" s="1370"/>
      <c r="D194" s="1370"/>
      <c r="E194" s="1370"/>
      <c r="F194" s="1370"/>
      <c r="G194" s="1370"/>
      <c r="H194" s="1370"/>
      <c r="I194" s="1370"/>
      <c r="J194" s="1370"/>
      <c r="K194" s="1370"/>
      <c r="L194" s="1370"/>
      <c r="M194" s="1370"/>
      <c r="N194" s="1370"/>
      <c r="O194" s="1371"/>
    </row>
    <row r="195" spans="2:15">
      <c r="B195" s="1369"/>
      <c r="C195" s="1370"/>
      <c r="D195" s="1370"/>
      <c r="E195" s="1370"/>
      <c r="F195" s="1370"/>
      <c r="G195" s="1370"/>
      <c r="H195" s="1370"/>
      <c r="I195" s="1370"/>
      <c r="J195" s="1370"/>
      <c r="K195" s="1370"/>
      <c r="L195" s="1370"/>
      <c r="M195" s="1370"/>
      <c r="N195" s="1370"/>
      <c r="O195" s="1371"/>
    </row>
    <row r="196" spans="2:15">
      <c r="B196" s="1369"/>
      <c r="C196" s="1370"/>
      <c r="D196" s="1370"/>
      <c r="E196" s="1370"/>
      <c r="F196" s="1370"/>
      <c r="G196" s="1370"/>
      <c r="H196" s="1370"/>
      <c r="I196" s="1370"/>
      <c r="J196" s="1370"/>
      <c r="K196" s="1370"/>
      <c r="L196" s="1370"/>
      <c r="M196" s="1370"/>
      <c r="N196" s="1370"/>
      <c r="O196" s="1371"/>
    </row>
    <row r="197" spans="2:15">
      <c r="B197" s="1369"/>
      <c r="C197" s="1370"/>
      <c r="D197" s="1370"/>
      <c r="E197" s="1370"/>
      <c r="F197" s="1370"/>
      <c r="G197" s="1370"/>
      <c r="H197" s="1370"/>
      <c r="I197" s="1370"/>
      <c r="J197" s="1370"/>
      <c r="K197" s="1370"/>
      <c r="L197" s="1370"/>
      <c r="M197" s="1370"/>
      <c r="N197" s="1370"/>
      <c r="O197" s="1371"/>
    </row>
    <row r="198" spans="2:15">
      <c r="B198" s="1369"/>
      <c r="C198" s="1370"/>
      <c r="D198" s="1370"/>
      <c r="E198" s="1370"/>
      <c r="F198" s="1370"/>
      <c r="G198" s="1370"/>
      <c r="H198" s="1370"/>
      <c r="I198" s="1370"/>
      <c r="J198" s="1370"/>
      <c r="K198" s="1370"/>
      <c r="L198" s="1370"/>
      <c r="M198" s="1370"/>
      <c r="N198" s="1370"/>
      <c r="O198" s="1371"/>
    </row>
    <row r="199" spans="2:15">
      <c r="B199" s="1369"/>
      <c r="C199" s="1370"/>
      <c r="D199" s="1370"/>
      <c r="E199" s="1370"/>
      <c r="F199" s="1370"/>
      <c r="G199" s="1370"/>
      <c r="H199" s="1370"/>
      <c r="I199" s="1370"/>
      <c r="J199" s="1370"/>
      <c r="K199" s="1370"/>
      <c r="L199" s="1370"/>
      <c r="M199" s="1370"/>
      <c r="N199" s="1370"/>
      <c r="O199" s="1371"/>
    </row>
    <row r="200" spans="2:15">
      <c r="B200" s="1369"/>
      <c r="C200" s="1370"/>
      <c r="D200" s="1370"/>
      <c r="E200" s="1370"/>
      <c r="F200" s="1370"/>
      <c r="G200" s="1370"/>
      <c r="H200" s="1370"/>
      <c r="I200" s="1370"/>
      <c r="J200" s="1370"/>
      <c r="K200" s="1370"/>
      <c r="L200" s="1370"/>
      <c r="M200" s="1370"/>
      <c r="N200" s="1370"/>
      <c r="O200" s="1371"/>
    </row>
    <row r="201" spans="2:15">
      <c r="B201" s="1369"/>
      <c r="C201" s="1370"/>
      <c r="D201" s="1370"/>
      <c r="E201" s="1370"/>
      <c r="F201" s="1370"/>
      <c r="G201" s="1370"/>
      <c r="H201" s="1370"/>
      <c r="I201" s="1370"/>
      <c r="J201" s="1370"/>
      <c r="K201" s="1370"/>
      <c r="L201" s="1370"/>
      <c r="M201" s="1370"/>
      <c r="N201" s="1370"/>
      <c r="O201" s="1371"/>
    </row>
    <row r="202" spans="2:15">
      <c r="B202" s="1369"/>
      <c r="C202" s="1370"/>
      <c r="D202" s="1370"/>
      <c r="E202" s="1370"/>
      <c r="F202" s="1370"/>
      <c r="G202" s="1370"/>
      <c r="H202" s="1370"/>
      <c r="I202" s="1370"/>
      <c r="J202" s="1370"/>
      <c r="K202" s="1370"/>
      <c r="L202" s="1370"/>
      <c r="M202" s="1370"/>
      <c r="N202" s="1370"/>
      <c r="O202" s="1371"/>
    </row>
    <row r="203" spans="2:15">
      <c r="B203" s="1369"/>
      <c r="C203" s="1370"/>
      <c r="D203" s="1370"/>
      <c r="E203" s="1370"/>
      <c r="F203" s="1370"/>
      <c r="G203" s="1370"/>
      <c r="H203" s="1370"/>
      <c r="I203" s="1370"/>
      <c r="J203" s="1370"/>
      <c r="K203" s="1370"/>
      <c r="L203" s="1370"/>
      <c r="M203" s="1370"/>
      <c r="N203" s="1370"/>
      <c r="O203" s="1371"/>
    </row>
    <row r="204" spans="2:15">
      <c r="B204" s="1369"/>
      <c r="C204" s="1370"/>
      <c r="D204" s="1370"/>
      <c r="E204" s="1370"/>
      <c r="F204" s="1370"/>
      <c r="G204" s="1370"/>
      <c r="H204" s="1370"/>
      <c r="I204" s="1370"/>
      <c r="J204" s="1370"/>
      <c r="K204" s="1370"/>
      <c r="L204" s="1370"/>
      <c r="M204" s="1370"/>
      <c r="N204" s="1370"/>
      <c r="O204" s="1371"/>
    </row>
    <row r="205" spans="2:15">
      <c r="B205" s="1369"/>
      <c r="C205" s="1370"/>
      <c r="D205" s="1370"/>
      <c r="E205" s="1370"/>
      <c r="F205" s="1370"/>
      <c r="G205" s="1370"/>
      <c r="H205" s="1370"/>
      <c r="I205" s="1370"/>
      <c r="J205" s="1370"/>
      <c r="K205" s="1370"/>
      <c r="L205" s="1370"/>
      <c r="M205" s="1370"/>
      <c r="N205" s="1370"/>
      <c r="O205" s="1371"/>
    </row>
    <row r="206" spans="2:15" ht="15.75" thickBot="1">
      <c r="B206" s="1372"/>
      <c r="C206" s="1373"/>
      <c r="D206" s="1373"/>
      <c r="E206" s="1373"/>
      <c r="F206" s="1373"/>
      <c r="G206" s="1373"/>
      <c r="H206" s="1373"/>
      <c r="I206" s="1373"/>
      <c r="J206" s="1373"/>
      <c r="K206" s="1373"/>
      <c r="L206" s="1373"/>
      <c r="M206" s="1373"/>
      <c r="N206" s="1373"/>
      <c r="O206" s="1374"/>
    </row>
    <row r="207" spans="2:15"/>
  </sheetData>
  <mergeCells count="7">
    <mergeCell ref="G2:J3"/>
    <mergeCell ref="B6:O206"/>
    <mergeCell ref="C4:O4"/>
    <mergeCell ref="D2:D3"/>
    <mergeCell ref="K2:K3"/>
    <mergeCell ref="L2:O3"/>
    <mergeCell ref="E2:F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AA473"/>
  <sheetViews>
    <sheetView showGridLines="0" zoomScale="110" zoomScaleNormal="110" workbookViewId="0">
      <selection activeCell="T10" sqref="T10"/>
    </sheetView>
  </sheetViews>
  <sheetFormatPr defaultColWidth="9.140625" defaultRowHeight="15"/>
  <cols>
    <col min="1" max="1" width="12.85546875" customWidth="1"/>
    <col min="2" max="2" width="11.7109375" customWidth="1"/>
    <col min="3" max="3" width="10.28515625" style="5" customWidth="1"/>
    <col min="4" max="4" width="17.28515625" customWidth="1"/>
    <col min="5" max="5" width="9.5703125" customWidth="1"/>
    <col min="6" max="7" width="9.5703125" style="5" customWidth="1"/>
    <col min="8" max="8" width="9.28515625" style="5" customWidth="1"/>
    <col min="9" max="9" width="9.28515625" customWidth="1"/>
    <col min="10" max="12" width="9.28515625" hidden="1" customWidth="1"/>
    <col min="13" max="13" width="3.140625" customWidth="1"/>
    <col min="14" max="14" width="9.140625" style="104"/>
    <col min="24" max="24" width="15.85546875" bestFit="1" customWidth="1"/>
    <col min="25" max="25" width="20" bestFit="1" customWidth="1"/>
    <col min="26" max="26" width="32" bestFit="1" customWidth="1"/>
    <col min="27" max="27" width="41.42578125" customWidth="1"/>
  </cols>
  <sheetData>
    <row r="1" spans="1:27" ht="15" customHeight="1">
      <c r="A1" s="1405" t="s">
        <v>453</v>
      </c>
      <c r="B1" s="1406"/>
      <c r="C1" s="595" t="s">
        <v>454</v>
      </c>
      <c r="D1" s="1405" t="s">
        <v>455</v>
      </c>
      <c r="E1" s="1407"/>
      <c r="F1" s="1407"/>
      <c r="G1" s="1407"/>
      <c r="H1" s="1407"/>
      <c r="I1" s="1407"/>
      <c r="J1" s="1407"/>
      <c r="K1" s="1407"/>
      <c r="L1" s="1406"/>
      <c r="X1" s="615" t="s">
        <v>456</v>
      </c>
      <c r="Y1" s="615" t="s">
        <v>457</v>
      </c>
      <c r="Z1" s="616" t="s">
        <v>458</v>
      </c>
      <c r="AA1" s="616" t="s">
        <v>459</v>
      </c>
    </row>
    <row r="2" spans="1:27" ht="33.6" customHeight="1">
      <c r="A2" s="1422"/>
      <c r="B2" s="1423"/>
      <c r="C2" s="1424"/>
      <c r="D2" s="1408" t="s">
        <v>460</v>
      </c>
      <c r="E2" s="1409"/>
      <c r="F2" s="1409"/>
      <c r="G2" s="1409"/>
      <c r="H2" s="1409"/>
      <c r="I2" s="1409"/>
      <c r="J2" s="1409"/>
      <c r="K2" s="1409"/>
      <c r="L2" s="1410"/>
      <c r="X2" s="617">
        <v>111010</v>
      </c>
      <c r="Y2" s="617">
        <v>1</v>
      </c>
      <c r="Z2" s="618" t="s">
        <v>461</v>
      </c>
      <c r="AA2" s="618" t="s">
        <v>462</v>
      </c>
    </row>
    <row r="3" spans="1:27" ht="32.450000000000003" customHeight="1">
      <c r="A3" s="2">
        <v>151010</v>
      </c>
      <c r="B3" s="3" t="s">
        <v>463</v>
      </c>
      <c r="C3" s="589">
        <v>7.6499999999999999E-2</v>
      </c>
      <c r="D3" s="1411" t="s">
        <v>464</v>
      </c>
      <c r="E3" s="1412"/>
      <c r="F3" s="1412"/>
      <c r="G3" s="1412"/>
      <c r="H3" s="1413"/>
      <c r="I3" s="752" t="s">
        <v>465</v>
      </c>
      <c r="J3" s="659" t="s">
        <v>465</v>
      </c>
      <c r="K3" s="753" t="s">
        <v>466</v>
      </c>
      <c r="L3" s="753" t="s">
        <v>467</v>
      </c>
      <c r="N3" s="1378" t="s">
        <v>468</v>
      </c>
      <c r="O3" s="1379"/>
      <c r="P3" s="1379"/>
      <c r="Q3" s="1379"/>
      <c r="R3" s="1380"/>
      <c r="X3" s="617">
        <v>115010</v>
      </c>
      <c r="Y3" s="617">
        <v>1</v>
      </c>
      <c r="Z3" s="618" t="s">
        <v>461</v>
      </c>
      <c r="AA3" s="618" t="s">
        <v>469</v>
      </c>
    </row>
    <row r="4" spans="1:27" s="5" customFormat="1" ht="19.5" customHeight="1">
      <c r="A4" s="1414">
        <v>152020</v>
      </c>
      <c r="B4" s="1417" t="s">
        <v>470</v>
      </c>
      <c r="C4" s="1419">
        <v>0.2467</v>
      </c>
      <c r="D4" s="4"/>
      <c r="E4" s="735" t="s">
        <v>471</v>
      </c>
      <c r="F4" s="648" t="s">
        <v>472</v>
      </c>
      <c r="G4" s="559" t="s">
        <v>473</v>
      </c>
      <c r="H4" s="559" t="s">
        <v>474</v>
      </c>
      <c r="I4" s="559" t="s">
        <v>475</v>
      </c>
      <c r="J4" s="559" t="s">
        <v>476</v>
      </c>
      <c r="K4" s="559" t="s">
        <v>477</v>
      </c>
      <c r="L4" s="560" t="s">
        <v>478</v>
      </c>
      <c r="N4" s="582">
        <v>0.01</v>
      </c>
      <c r="O4" s="698" t="s">
        <v>479</v>
      </c>
      <c r="R4" s="583"/>
      <c r="X4" s="617">
        <v>116010</v>
      </c>
      <c r="Y4" s="617">
        <v>1</v>
      </c>
      <c r="Z4" s="618" t="s">
        <v>461</v>
      </c>
      <c r="AA4" s="618" t="s">
        <v>480</v>
      </c>
    </row>
    <row r="5" spans="1:27" s="7" customFormat="1" ht="18" customHeight="1">
      <c r="A5" s="1415"/>
      <c r="B5" s="1418"/>
      <c r="C5" s="1420"/>
      <c r="D5" s="6"/>
      <c r="E5" s="736" t="s">
        <v>481</v>
      </c>
      <c r="F5" s="750" t="s">
        <v>481</v>
      </c>
      <c r="G5" s="741" t="s">
        <v>481</v>
      </c>
      <c r="H5" s="741" t="s">
        <v>481</v>
      </c>
      <c r="I5" s="741" t="s">
        <v>481</v>
      </c>
      <c r="J5" s="741" t="s">
        <v>481</v>
      </c>
      <c r="K5" s="741" t="s">
        <v>481</v>
      </c>
      <c r="L5" s="742" t="s">
        <v>481</v>
      </c>
      <c r="N5" s="121">
        <f>C3</f>
        <v>7.6499999999999999E-2</v>
      </c>
      <c r="O5" t="s">
        <v>463</v>
      </c>
      <c r="R5" s="122"/>
      <c r="X5" s="617">
        <v>141010</v>
      </c>
      <c r="Y5" s="617">
        <v>1</v>
      </c>
      <c r="Z5" s="618" t="s">
        <v>461</v>
      </c>
      <c r="AA5" s="618" t="s">
        <v>482</v>
      </c>
    </row>
    <row r="6" spans="1:27">
      <c r="A6" s="1415"/>
      <c r="B6" s="1418"/>
      <c r="C6" s="1420"/>
      <c r="D6" s="117" t="s">
        <v>483</v>
      </c>
      <c r="E6" s="570">
        <v>17.14</v>
      </c>
      <c r="F6" s="754">
        <v>16.79</v>
      </c>
      <c r="G6" s="653">
        <v>17.64</v>
      </c>
      <c r="H6" s="653">
        <v>17.38</v>
      </c>
      <c r="I6" s="559">
        <v>17.97</v>
      </c>
      <c r="J6" s="559">
        <v>14.77</v>
      </c>
      <c r="K6" s="559">
        <v>12.96</v>
      </c>
      <c r="L6" s="560">
        <v>12.28</v>
      </c>
      <c r="N6" s="121">
        <f>C4</f>
        <v>0.2467</v>
      </c>
      <c r="O6" s="8" t="s">
        <v>470</v>
      </c>
      <c r="R6" s="108"/>
      <c r="X6" s="619">
        <v>121010</v>
      </c>
      <c r="Y6" s="619">
        <v>2</v>
      </c>
      <c r="Z6" s="620" t="s">
        <v>484</v>
      </c>
      <c r="AA6" s="620" t="s">
        <v>485</v>
      </c>
    </row>
    <row r="7" spans="1:27" ht="18" customHeight="1">
      <c r="A7" s="1415"/>
      <c r="B7" s="1418"/>
      <c r="C7" s="1420"/>
      <c r="D7" s="118" t="s">
        <v>486</v>
      </c>
      <c r="E7" s="570">
        <v>7.33</v>
      </c>
      <c r="F7" s="747">
        <v>6.99</v>
      </c>
      <c r="G7" s="749">
        <v>7.14</v>
      </c>
      <c r="H7" s="749">
        <v>6.89</v>
      </c>
      <c r="I7" s="755">
        <v>5.9</v>
      </c>
      <c r="J7" s="755">
        <v>6.68</v>
      </c>
      <c r="K7" s="755">
        <v>6.47</v>
      </c>
      <c r="L7" s="574">
        <v>6.27</v>
      </c>
      <c r="N7" s="555">
        <f>N4+N5+N6</f>
        <v>0.3332</v>
      </c>
      <c r="O7" s="123"/>
      <c r="P7" s="124"/>
      <c r="Q7" s="123"/>
      <c r="R7" s="109"/>
      <c r="X7" s="619">
        <v>141020</v>
      </c>
      <c r="Y7" s="619">
        <v>2</v>
      </c>
      <c r="Z7" s="620" t="s">
        <v>484</v>
      </c>
      <c r="AA7" s="620" t="s">
        <v>487</v>
      </c>
    </row>
    <row r="8" spans="1:27" ht="18" customHeight="1">
      <c r="A8" s="1415"/>
      <c r="B8" s="1418"/>
      <c r="C8" s="1420"/>
      <c r="D8" s="118" t="s">
        <v>488</v>
      </c>
      <c r="E8" s="570">
        <v>7.0000000000000007E-2</v>
      </c>
      <c r="F8" s="747">
        <v>0.13</v>
      </c>
      <c r="G8" s="749">
        <v>0.11</v>
      </c>
      <c r="H8" s="749">
        <v>0.1</v>
      </c>
      <c r="I8" s="733">
        <v>0.09</v>
      </c>
      <c r="J8" s="733">
        <v>0.09</v>
      </c>
      <c r="K8" s="733">
        <v>0.1</v>
      </c>
      <c r="L8" s="575">
        <v>0.14000000000000001</v>
      </c>
      <c r="N8" s="654">
        <f>C14</f>
        <v>8500</v>
      </c>
      <c r="O8" s="183" t="s">
        <v>489</v>
      </c>
      <c r="P8" s="183"/>
      <c r="Q8" s="183"/>
      <c r="R8" s="183"/>
      <c r="S8" s="183"/>
      <c r="T8" s="183"/>
      <c r="X8" s="619">
        <v>141025</v>
      </c>
      <c r="Y8" s="619">
        <v>2</v>
      </c>
      <c r="Z8" s="620" t="s">
        <v>484</v>
      </c>
      <c r="AA8" s="620" t="s">
        <v>490</v>
      </c>
    </row>
    <row r="9" spans="1:27">
      <c r="A9" s="1415"/>
      <c r="B9" s="1418"/>
      <c r="C9" s="1420"/>
      <c r="D9" s="118" t="s">
        <v>491</v>
      </c>
      <c r="E9" s="570">
        <v>0.13</v>
      </c>
      <c r="F9" s="747">
        <v>0.13</v>
      </c>
      <c r="G9" s="749">
        <v>0.13</v>
      </c>
      <c r="H9" s="749">
        <v>0.13</v>
      </c>
      <c r="I9" s="733">
        <v>0.13</v>
      </c>
      <c r="J9" s="733">
        <v>0.13</v>
      </c>
      <c r="K9" s="733">
        <v>0.16</v>
      </c>
      <c r="L9" s="575">
        <v>0.16</v>
      </c>
      <c r="N9" s="505"/>
      <c r="O9" s="183"/>
      <c r="P9" s="183"/>
      <c r="Q9" s="183"/>
      <c r="R9" s="183"/>
      <c r="S9" s="183"/>
      <c r="T9" s="183"/>
      <c r="X9" s="619">
        <v>142020</v>
      </c>
      <c r="Y9" s="619">
        <v>2</v>
      </c>
      <c r="Z9" s="620" t="s">
        <v>484</v>
      </c>
      <c r="AA9" s="620" t="s">
        <v>492</v>
      </c>
    </row>
    <row r="10" spans="1:27" ht="31.9" customHeight="1">
      <c r="A10" s="1415"/>
      <c r="B10" s="1418"/>
      <c r="C10" s="1420"/>
      <c r="D10" s="119" t="s">
        <v>493</v>
      </c>
      <c r="E10" s="571">
        <v>0</v>
      </c>
      <c r="F10" s="748">
        <v>0</v>
      </c>
      <c r="G10" s="652">
        <v>0.01</v>
      </c>
      <c r="H10" s="652" t="s">
        <v>494</v>
      </c>
      <c r="I10" s="576">
        <v>0.01</v>
      </c>
      <c r="J10" s="576">
        <v>0.01</v>
      </c>
      <c r="K10" s="576">
        <v>0.01</v>
      </c>
      <c r="L10" s="577">
        <v>0.01</v>
      </c>
      <c r="N10" s="1378" t="s">
        <v>495</v>
      </c>
      <c r="O10" s="1379"/>
      <c r="P10" s="1379"/>
      <c r="Q10" s="1379"/>
      <c r="R10" s="1380"/>
      <c r="X10" s="619">
        <v>146010</v>
      </c>
      <c r="Y10" s="619">
        <v>2</v>
      </c>
      <c r="Z10" s="620" t="s">
        <v>484</v>
      </c>
      <c r="AA10" s="620" t="s">
        <v>496</v>
      </c>
    </row>
    <row r="11" spans="1:27">
      <c r="A11" s="1415"/>
      <c r="B11" s="1418"/>
      <c r="C11" s="1420"/>
      <c r="D11" s="9"/>
      <c r="E11" s="5"/>
      <c r="I11" s="572"/>
      <c r="J11" s="572"/>
      <c r="K11" s="573"/>
      <c r="L11" s="120"/>
      <c r="N11" s="582">
        <v>0.01</v>
      </c>
      <c r="O11" s="698" t="s">
        <v>479</v>
      </c>
      <c r="R11" s="108"/>
      <c r="X11" s="621">
        <v>131010</v>
      </c>
      <c r="Y11" s="621">
        <v>3</v>
      </c>
      <c r="Z11" s="622" t="s">
        <v>497</v>
      </c>
      <c r="AA11" s="622" t="s">
        <v>497</v>
      </c>
    </row>
    <row r="12" spans="1:27" s="1" customFormat="1" ht="17.45" customHeight="1">
      <c r="A12" s="1416"/>
      <c r="B12" s="1397"/>
      <c r="C12" s="1421"/>
      <c r="D12" s="578" t="s">
        <v>152</v>
      </c>
      <c r="E12" s="751">
        <f>SUM(E6:E10)</f>
        <v>24.669999999999998</v>
      </c>
      <c r="F12" s="756">
        <f>SUM(F6:F10)</f>
        <v>24.04</v>
      </c>
      <c r="G12" s="579">
        <v>25.02</v>
      </c>
      <c r="H12" s="579">
        <f>SUM(H6:H11)</f>
        <v>24.5</v>
      </c>
      <c r="I12" s="579">
        <f>SUM(I6:I11)</f>
        <v>24.099999999999998</v>
      </c>
      <c r="J12" s="579">
        <f>SUM(J6:J11)</f>
        <v>21.68</v>
      </c>
      <c r="K12" s="579">
        <f>SUM(K6:K11)</f>
        <v>19.700000000000003</v>
      </c>
      <c r="L12" s="580">
        <f>SUM(L6:L11)</f>
        <v>18.86</v>
      </c>
      <c r="N12" s="121">
        <f>C3</f>
        <v>7.6499999999999999E-2</v>
      </c>
      <c r="O12" t="s">
        <v>463</v>
      </c>
      <c r="P12"/>
      <c r="Q12"/>
      <c r="R12" s="108"/>
      <c r="S12"/>
      <c r="T12"/>
      <c r="U12"/>
      <c r="X12" s="621">
        <v>141030</v>
      </c>
      <c r="Y12" s="621">
        <v>3</v>
      </c>
      <c r="Z12" s="622" t="s">
        <v>497</v>
      </c>
      <c r="AA12" s="622" t="s">
        <v>498</v>
      </c>
    </row>
    <row r="13" spans="1:27" s="1" customFormat="1" ht="17.45" customHeight="1">
      <c r="A13" s="1381"/>
      <c r="B13" s="1381"/>
      <c r="C13" s="1381"/>
      <c r="D13" s="1381"/>
      <c r="E13" s="1381"/>
      <c r="F13" s="1381"/>
      <c r="G13" s="1381"/>
      <c r="H13" s="1381"/>
      <c r="I13" s="1381"/>
      <c r="J13" s="1381"/>
      <c r="K13" s="1381"/>
      <c r="L13" s="1381"/>
      <c r="N13" s="125">
        <f>C19</f>
        <v>0.1424</v>
      </c>
      <c r="O13" s="8" t="s">
        <v>499</v>
      </c>
      <c r="R13" s="126"/>
      <c r="X13" s="623">
        <v>135050</v>
      </c>
      <c r="Y13" s="623">
        <v>4</v>
      </c>
      <c r="Z13" s="624" t="s">
        <v>500</v>
      </c>
      <c r="AA13" s="624" t="s">
        <v>500</v>
      </c>
    </row>
    <row r="14" spans="1:27" ht="16.899999999999999" customHeight="1">
      <c r="A14" s="1390">
        <v>156030</v>
      </c>
      <c r="B14" s="1396" t="s">
        <v>501</v>
      </c>
      <c r="C14" s="1455">
        <f>E16</f>
        <v>8500</v>
      </c>
      <c r="D14" s="1388" t="s">
        <v>154</v>
      </c>
      <c r="E14" s="565" t="s">
        <v>471</v>
      </c>
      <c r="F14" s="559" t="s">
        <v>472</v>
      </c>
      <c r="G14" s="559" t="s">
        <v>473</v>
      </c>
      <c r="H14" s="559" t="s">
        <v>474</v>
      </c>
      <c r="I14" s="559" t="s">
        <v>475</v>
      </c>
      <c r="J14" s="559" t="s">
        <v>476</v>
      </c>
      <c r="K14" s="559" t="s">
        <v>477</v>
      </c>
      <c r="L14" s="560" t="s">
        <v>478</v>
      </c>
      <c r="N14" s="555">
        <f>N11+N12+N13</f>
        <v>0.22889999999999999</v>
      </c>
      <c r="O14" s="127"/>
      <c r="P14" s="128"/>
      <c r="Q14" s="128"/>
      <c r="R14" s="129"/>
      <c r="S14" s="1"/>
      <c r="T14" s="1"/>
      <c r="U14" s="1"/>
      <c r="X14" s="623">
        <v>141060</v>
      </c>
      <c r="Y14" s="623">
        <v>4</v>
      </c>
      <c r="Z14" s="624" t="s">
        <v>500</v>
      </c>
      <c r="AA14" s="624" t="s">
        <v>502</v>
      </c>
    </row>
    <row r="15" spans="1:27" s="1" customFormat="1">
      <c r="A15" s="1391"/>
      <c r="B15" s="1418"/>
      <c r="C15" s="1456"/>
      <c r="D15" s="1389"/>
      <c r="E15" s="569" t="s">
        <v>481</v>
      </c>
      <c r="F15" s="576" t="s">
        <v>481</v>
      </c>
      <c r="G15" s="576" t="s">
        <v>481</v>
      </c>
      <c r="H15" s="576" t="s">
        <v>481</v>
      </c>
      <c r="I15" s="576" t="s">
        <v>481</v>
      </c>
      <c r="J15" s="576" t="s">
        <v>481</v>
      </c>
      <c r="K15" s="576" t="s">
        <v>481</v>
      </c>
      <c r="L15" s="577" t="s">
        <v>481</v>
      </c>
      <c r="N15" s="655">
        <f>C14</f>
        <v>8500</v>
      </c>
      <c r="O15" s="183" t="s">
        <v>489</v>
      </c>
      <c r="P15" s="183"/>
      <c r="Q15" s="183"/>
      <c r="R15" s="183"/>
      <c r="S15" s="183"/>
      <c r="T15" s="183"/>
      <c r="U15"/>
      <c r="X15" s="625">
        <v>151010</v>
      </c>
      <c r="Y15" s="625">
        <v>5</v>
      </c>
      <c r="Z15" s="626" t="s">
        <v>455</v>
      </c>
      <c r="AA15" s="626" t="s">
        <v>463</v>
      </c>
    </row>
    <row r="16" spans="1:27" s="1" customFormat="1" ht="15.6" customHeight="1">
      <c r="A16" s="1391"/>
      <c r="B16" s="1418"/>
      <c r="C16" s="1457"/>
      <c r="D16" s="732" t="s">
        <v>503</v>
      </c>
      <c r="E16" s="739">
        <v>8500</v>
      </c>
      <c r="F16" s="734">
        <v>8095</v>
      </c>
      <c r="G16" s="737">
        <v>7557</v>
      </c>
      <c r="H16" s="744">
        <v>7397</v>
      </c>
      <c r="I16" s="745">
        <v>7019</v>
      </c>
      <c r="J16" s="745">
        <v>6326</v>
      </c>
      <c r="K16" s="745">
        <v>6306</v>
      </c>
      <c r="L16" s="746">
        <v>6104</v>
      </c>
      <c r="N16" s="116"/>
      <c r="X16" s="625">
        <v>152020</v>
      </c>
      <c r="Y16" s="625">
        <v>5</v>
      </c>
      <c r="Z16" s="626" t="s">
        <v>455</v>
      </c>
      <c r="AA16" s="626" t="s">
        <v>499</v>
      </c>
    </row>
    <row r="17" spans="1:27" ht="17.45" customHeight="1">
      <c r="A17" s="1392"/>
      <c r="B17" s="1448"/>
      <c r="C17" s="1458"/>
      <c r="D17" s="743" t="s">
        <v>504</v>
      </c>
      <c r="E17" s="740">
        <f>E16/12</f>
        <v>708.33333333333337</v>
      </c>
      <c r="F17" s="738">
        <f>F16/12</f>
        <v>674.58333333333337</v>
      </c>
      <c r="G17" s="738">
        <f>G16/12</f>
        <v>629.75</v>
      </c>
      <c r="H17" s="651">
        <f>H16/12</f>
        <v>616.41666666666663</v>
      </c>
      <c r="I17" s="564">
        <v>584.91999999999996</v>
      </c>
      <c r="J17" s="564">
        <v>527.16999999999996</v>
      </c>
      <c r="K17" s="564">
        <f>K16/12</f>
        <v>525.5</v>
      </c>
      <c r="L17" s="563">
        <f>L16/12</f>
        <v>508.66666666666669</v>
      </c>
      <c r="N17" s="1378" t="s">
        <v>505</v>
      </c>
      <c r="O17" s="1379"/>
      <c r="P17" s="1379"/>
      <c r="Q17" s="1379"/>
      <c r="R17" s="1380"/>
      <c r="S17" s="1"/>
      <c r="T17" s="1"/>
      <c r="U17" s="1"/>
      <c r="X17" s="625">
        <v>154070</v>
      </c>
      <c r="Y17" s="625">
        <v>5</v>
      </c>
      <c r="Z17" s="626" t="s">
        <v>455</v>
      </c>
      <c r="AA17" s="626" t="s">
        <v>506</v>
      </c>
    </row>
    <row r="18" spans="1:27" ht="14.45" customHeight="1">
      <c r="A18" s="1459"/>
      <c r="B18" s="1404"/>
      <c r="C18" s="1404"/>
      <c r="D18" s="1404"/>
      <c r="E18" s="731"/>
      <c r="F18" s="554"/>
      <c r="G18" s="554"/>
      <c r="H18" s="554"/>
      <c r="I18" s="554"/>
      <c r="J18" s="554"/>
      <c r="K18" s="554"/>
      <c r="L18" s="554"/>
      <c r="N18" s="121">
        <v>0.01</v>
      </c>
      <c r="O18" t="s">
        <v>479</v>
      </c>
      <c r="R18" s="108"/>
      <c r="X18" s="625">
        <v>156030</v>
      </c>
      <c r="Y18" s="625">
        <v>5</v>
      </c>
      <c r="Z18" s="626" t="s">
        <v>455</v>
      </c>
      <c r="AA18" s="626" t="s">
        <v>501</v>
      </c>
    </row>
    <row r="19" spans="1:27" ht="17.25" customHeight="1">
      <c r="A19" s="1390">
        <v>154070</v>
      </c>
      <c r="B19" s="1396" t="s">
        <v>507</v>
      </c>
      <c r="C19" s="1393">
        <v>0.1424</v>
      </c>
      <c r="D19" s="584"/>
      <c r="E19" s="565" t="s">
        <v>471</v>
      </c>
      <c r="F19" s="559" t="s">
        <v>472</v>
      </c>
      <c r="G19" s="559" t="s">
        <v>473</v>
      </c>
      <c r="H19" s="559" t="s">
        <v>474</v>
      </c>
      <c r="I19" s="559" t="s">
        <v>475</v>
      </c>
      <c r="J19" s="559" t="s">
        <v>476</v>
      </c>
      <c r="K19" s="559" t="s">
        <v>477</v>
      </c>
      <c r="L19" s="560" t="s">
        <v>478</v>
      </c>
      <c r="N19" s="121">
        <v>7.6499999999999999E-2</v>
      </c>
      <c r="O19" t="s">
        <v>463</v>
      </c>
      <c r="P19" s="5"/>
      <c r="R19" s="108"/>
      <c r="X19" s="625">
        <v>157140</v>
      </c>
      <c r="Y19" s="625">
        <v>5</v>
      </c>
      <c r="Z19" s="626" t="s">
        <v>455</v>
      </c>
      <c r="AA19" s="626" t="s">
        <v>508</v>
      </c>
    </row>
    <row r="20" spans="1:27">
      <c r="A20" s="1391"/>
      <c r="B20" s="1418"/>
      <c r="C20" s="1394"/>
      <c r="D20" s="585"/>
      <c r="E20" s="761" t="s">
        <v>481</v>
      </c>
      <c r="F20" s="757" t="s">
        <v>481</v>
      </c>
      <c r="G20" s="757" t="s">
        <v>481</v>
      </c>
      <c r="H20" s="757" t="s">
        <v>481</v>
      </c>
      <c r="I20" s="757" t="s">
        <v>481</v>
      </c>
      <c r="J20" s="757" t="s">
        <v>481</v>
      </c>
      <c r="K20" s="757" t="s">
        <v>481</v>
      </c>
      <c r="L20" s="758" t="s">
        <v>481</v>
      </c>
      <c r="N20" s="556">
        <f>N18+N19</f>
        <v>8.6499999999999994E-2</v>
      </c>
      <c r="O20" s="123"/>
      <c r="P20" s="124"/>
      <c r="Q20" s="123"/>
      <c r="R20" s="109"/>
      <c r="X20" s="625">
        <v>157250</v>
      </c>
      <c r="Y20" s="625">
        <v>5</v>
      </c>
      <c r="Z20" s="626" t="s">
        <v>455</v>
      </c>
      <c r="AA20" s="626" t="s">
        <v>509</v>
      </c>
    </row>
    <row r="21" spans="1:27" ht="18.75" customHeight="1">
      <c r="A21" s="1391"/>
      <c r="B21" s="1418"/>
      <c r="C21" s="1394"/>
      <c r="D21" s="586" t="s">
        <v>483</v>
      </c>
      <c r="E21" s="566">
        <v>6.84</v>
      </c>
      <c r="F21" s="557">
        <v>6.84</v>
      </c>
      <c r="G21" s="557">
        <v>6.84</v>
      </c>
      <c r="H21" s="557">
        <v>6.84</v>
      </c>
      <c r="I21" s="759">
        <v>6.84</v>
      </c>
      <c r="J21" s="759">
        <v>6.84</v>
      </c>
      <c r="K21" s="759">
        <v>6.84</v>
      </c>
      <c r="L21" s="760">
        <v>6.84</v>
      </c>
      <c r="N21" s="656">
        <v>184.36</v>
      </c>
      <c r="O21" s="1" t="s">
        <v>510</v>
      </c>
      <c r="P21" s="1"/>
      <c r="Q21" s="1"/>
      <c r="R21" s="1"/>
      <c r="S21" s="1"/>
      <c r="T21" s="1"/>
      <c r="U21" s="1"/>
      <c r="X21" s="625">
        <v>157600</v>
      </c>
      <c r="Y21" s="625">
        <v>5</v>
      </c>
      <c r="Z21" s="626" t="s">
        <v>455</v>
      </c>
      <c r="AA21" s="626" t="s">
        <v>511</v>
      </c>
    </row>
    <row r="22" spans="1:27" s="1" customFormat="1">
      <c r="A22" s="1391"/>
      <c r="B22" s="1418"/>
      <c r="C22" s="1394"/>
      <c r="D22" s="581" t="s">
        <v>486</v>
      </c>
      <c r="E22" s="566">
        <v>7.33</v>
      </c>
      <c r="F22" s="557">
        <v>6.99</v>
      </c>
      <c r="G22" s="557">
        <v>7.14</v>
      </c>
      <c r="H22" s="557">
        <v>6.89</v>
      </c>
      <c r="I22" s="10">
        <v>5.99</v>
      </c>
      <c r="J22" s="10">
        <v>6.68</v>
      </c>
      <c r="K22" s="10">
        <v>6.47</v>
      </c>
      <c r="L22" s="552">
        <v>6.27</v>
      </c>
      <c r="N22" s="551"/>
      <c r="O22" s="19">
        <f>N21*12</f>
        <v>2212.3200000000002</v>
      </c>
      <c r="P22" s="7" t="s">
        <v>512</v>
      </c>
      <c r="Q22"/>
      <c r="R22"/>
      <c r="S22"/>
      <c r="T22"/>
      <c r="U22"/>
      <c r="X22" s="625">
        <v>157700</v>
      </c>
      <c r="Y22" s="625">
        <v>5</v>
      </c>
      <c r="Z22" s="626" t="s">
        <v>455</v>
      </c>
      <c r="AA22" s="626" t="s">
        <v>513</v>
      </c>
    </row>
    <row r="23" spans="1:27" ht="18.75" customHeight="1">
      <c r="A23" s="1391"/>
      <c r="B23" s="1418"/>
      <c r="C23" s="1394"/>
      <c r="D23" s="587" t="s">
        <v>488</v>
      </c>
      <c r="E23" s="567">
        <v>7.0000000000000007E-2</v>
      </c>
      <c r="F23" s="649">
        <v>0.13</v>
      </c>
      <c r="G23" s="649">
        <v>0.11</v>
      </c>
      <c r="H23" s="649">
        <v>0.1</v>
      </c>
      <c r="I23" s="613" t="s">
        <v>514</v>
      </c>
      <c r="J23" s="11">
        <v>0.09</v>
      </c>
      <c r="K23" s="11">
        <v>0.1</v>
      </c>
      <c r="L23" s="553">
        <v>0.14000000000000001</v>
      </c>
      <c r="X23" s="625">
        <v>159010</v>
      </c>
      <c r="Y23" s="625">
        <v>5</v>
      </c>
      <c r="Z23" s="626" t="s">
        <v>455</v>
      </c>
      <c r="AA23" s="626" t="s">
        <v>515</v>
      </c>
    </row>
    <row r="24" spans="1:27" s="1" customFormat="1" ht="21.75" customHeight="1">
      <c r="A24" s="1391"/>
      <c r="B24" s="1418"/>
      <c r="C24" s="1394"/>
      <c r="D24" s="588" t="s">
        <v>491</v>
      </c>
      <c r="E24" s="568">
        <v>0</v>
      </c>
      <c r="F24" s="558">
        <v>0</v>
      </c>
      <c r="G24" s="558">
        <v>0</v>
      </c>
      <c r="H24" s="558">
        <v>0</v>
      </c>
      <c r="I24" s="561">
        <v>0</v>
      </c>
      <c r="J24" s="561">
        <v>0</v>
      </c>
      <c r="K24" s="561">
        <v>0</v>
      </c>
      <c r="L24" s="562">
        <v>0</v>
      </c>
      <c r="N24" s="1378" t="s">
        <v>516</v>
      </c>
      <c r="O24" s="1379"/>
      <c r="P24" s="1379"/>
      <c r="Q24" s="1379"/>
      <c r="R24" s="1380"/>
      <c r="S24"/>
      <c r="T24"/>
      <c r="U24"/>
      <c r="X24" s="627" t="s">
        <v>214</v>
      </c>
      <c r="Y24" s="627">
        <v>6</v>
      </c>
      <c r="Z24" s="628" t="s">
        <v>286</v>
      </c>
      <c r="AA24" s="628" t="s">
        <v>517</v>
      </c>
    </row>
    <row r="25" spans="1:27" s="1" customFormat="1" ht="16.149999999999999" customHeight="1">
      <c r="A25" s="1392"/>
      <c r="B25" s="1448"/>
      <c r="C25" s="1395"/>
      <c r="D25" s="581" t="s">
        <v>152</v>
      </c>
      <c r="E25" s="764">
        <f t="shared" ref="E25:F25" si="0">SUM(E21:E24)</f>
        <v>14.24</v>
      </c>
      <c r="F25" s="650">
        <f t="shared" si="0"/>
        <v>13.96</v>
      </c>
      <c r="G25" s="762">
        <f t="shared" ref="G25:L25" si="1">SUM(G21:G24)</f>
        <v>14.09</v>
      </c>
      <c r="H25" s="762">
        <f t="shared" si="1"/>
        <v>13.83</v>
      </c>
      <c r="I25" s="762">
        <f t="shared" si="1"/>
        <v>12.83</v>
      </c>
      <c r="J25" s="762">
        <f t="shared" si="1"/>
        <v>13.61</v>
      </c>
      <c r="K25" s="762">
        <f t="shared" si="1"/>
        <v>13.409999999999998</v>
      </c>
      <c r="L25" s="763">
        <f t="shared" si="1"/>
        <v>13.25</v>
      </c>
      <c r="N25" s="582">
        <v>0.01</v>
      </c>
      <c r="O25" s="698" t="s">
        <v>479</v>
      </c>
      <c r="P25" s="5"/>
      <c r="Q25" s="5"/>
      <c r="R25" s="583"/>
      <c r="X25" s="627">
        <v>211010</v>
      </c>
      <c r="Y25" s="627">
        <v>6</v>
      </c>
      <c r="Z25" s="628" t="s">
        <v>286</v>
      </c>
      <c r="AA25" s="628" t="s">
        <v>518</v>
      </c>
    </row>
    <row r="26" spans="1:27" s="1" customFormat="1" ht="16.149999999999999" customHeight="1">
      <c r="A26" s="1402"/>
      <c r="B26" s="1403"/>
      <c r="C26" s="1403"/>
      <c r="D26" s="1403"/>
      <c r="E26" s="1404"/>
      <c r="F26" s="1404"/>
      <c r="G26" s="1404"/>
      <c r="H26" s="1404"/>
      <c r="I26" s="1404"/>
      <c r="J26" s="1404"/>
      <c r="K26" s="1404"/>
      <c r="L26" s="1404"/>
      <c r="N26" s="121">
        <f>C3</f>
        <v>7.6499999999999999E-2</v>
      </c>
      <c r="O26" t="s">
        <v>463</v>
      </c>
      <c r="P26" s="7"/>
      <c r="Q26" s="7"/>
      <c r="R26" s="122"/>
      <c r="X26" s="627">
        <v>211020</v>
      </c>
      <c r="Y26" s="627">
        <v>6</v>
      </c>
      <c r="Z26" s="628" t="s">
        <v>286</v>
      </c>
      <c r="AA26" s="628" t="s">
        <v>519</v>
      </c>
    </row>
    <row r="27" spans="1:27" s="1" customFormat="1" ht="20.25" customHeight="1">
      <c r="A27" s="1396">
        <v>153080</v>
      </c>
      <c r="B27" s="1398" t="s">
        <v>520</v>
      </c>
      <c r="C27" s="1400">
        <v>0.29670000000000002</v>
      </c>
      <c r="D27" s="1382" t="s">
        <v>521</v>
      </c>
      <c r="E27" s="1383"/>
      <c r="F27" s="1383"/>
      <c r="G27" s="1383"/>
      <c r="H27" s="1383"/>
      <c r="I27" s="1383"/>
      <c r="J27" s="1383"/>
      <c r="K27" s="1383"/>
      <c r="L27" s="1384"/>
      <c r="N27" s="121">
        <f>C27</f>
        <v>0.29670000000000002</v>
      </c>
      <c r="O27" s="8" t="s">
        <v>470</v>
      </c>
      <c r="P27"/>
      <c r="Q27"/>
      <c r="R27" s="108"/>
      <c r="X27" s="627">
        <v>212010</v>
      </c>
      <c r="Y27" s="627">
        <v>6</v>
      </c>
      <c r="Z27" s="628" t="s">
        <v>286</v>
      </c>
      <c r="AA27" s="628" t="s">
        <v>522</v>
      </c>
    </row>
    <row r="28" spans="1:27" ht="20.25" customHeight="1">
      <c r="A28" s="1397"/>
      <c r="B28" s="1399"/>
      <c r="C28" s="1401"/>
      <c r="D28" s="1385"/>
      <c r="E28" s="1386"/>
      <c r="F28" s="1386"/>
      <c r="G28" s="1386"/>
      <c r="H28" s="1386"/>
      <c r="I28" s="1386"/>
      <c r="J28" s="1386"/>
      <c r="K28" s="1386"/>
      <c r="L28" s="1387"/>
      <c r="N28" s="555">
        <f>N25+N26+N27</f>
        <v>0.38319999999999999</v>
      </c>
      <c r="O28" s="123"/>
      <c r="P28" s="124"/>
      <c r="Q28" s="123"/>
      <c r="R28" s="109"/>
      <c r="S28" s="1"/>
      <c r="T28" s="1"/>
      <c r="U28" s="1"/>
      <c r="X28" s="627">
        <v>212020</v>
      </c>
      <c r="Y28" s="627">
        <v>6</v>
      </c>
      <c r="Z28" s="628" t="s">
        <v>286</v>
      </c>
      <c r="AA28" s="628" t="s">
        <v>523</v>
      </c>
    </row>
    <row r="29" spans="1:27">
      <c r="N29" s="699">
        <f>C14</f>
        <v>8500</v>
      </c>
      <c r="O29" s="183" t="s">
        <v>489</v>
      </c>
      <c r="P29" s="183"/>
      <c r="Q29" s="183"/>
      <c r="R29" s="183"/>
      <c r="X29" s="627">
        <v>212030</v>
      </c>
      <c r="Y29" s="627">
        <v>6</v>
      </c>
      <c r="Z29" s="628" t="s">
        <v>286</v>
      </c>
      <c r="AA29" s="628" t="s">
        <v>524</v>
      </c>
    </row>
    <row r="30" spans="1:27">
      <c r="N30"/>
      <c r="X30" s="627">
        <v>212040</v>
      </c>
      <c r="Y30" s="627">
        <v>6</v>
      </c>
      <c r="Z30" s="628" t="s">
        <v>286</v>
      </c>
      <c r="AA30" s="628" t="s">
        <v>525</v>
      </c>
    </row>
    <row r="31" spans="1:27">
      <c r="A31" s="1445" t="s">
        <v>526</v>
      </c>
      <c r="B31" s="1446"/>
      <c r="C31" s="1446"/>
      <c r="D31" s="1446"/>
      <c r="E31" s="1446"/>
      <c r="F31" s="1446"/>
      <c r="G31" s="1446"/>
      <c r="H31" s="1446"/>
      <c r="I31" s="1446"/>
      <c r="J31" s="1446"/>
      <c r="K31" s="1446"/>
      <c r="L31" s="1446"/>
      <c r="M31" s="1446"/>
      <c r="N31" s="1447"/>
      <c r="X31" s="627">
        <v>213110</v>
      </c>
      <c r="Y31" s="627">
        <v>6</v>
      </c>
      <c r="Z31" s="628" t="s">
        <v>286</v>
      </c>
      <c r="AA31" s="628" t="s">
        <v>527</v>
      </c>
    </row>
    <row r="32" spans="1:27">
      <c r="A32" s="1605" t="s">
        <v>528</v>
      </c>
      <c r="B32" s="1606"/>
      <c r="C32" s="591" t="s">
        <v>473</v>
      </c>
      <c r="D32" s="1463" t="s">
        <v>529</v>
      </c>
      <c r="E32" s="1464"/>
      <c r="F32" s="1464"/>
      <c r="G32" s="1464"/>
      <c r="H32" s="1464"/>
      <c r="I32" s="1464"/>
      <c r="J32" s="1464"/>
      <c r="K32" s="1464"/>
      <c r="L32" s="1464"/>
      <c r="M32" s="1464"/>
      <c r="N32" s="1465"/>
      <c r="X32" s="627">
        <v>213120</v>
      </c>
      <c r="Y32" s="627">
        <v>6</v>
      </c>
      <c r="Z32" s="628" t="s">
        <v>286</v>
      </c>
      <c r="AA32" s="628" t="s">
        <v>530</v>
      </c>
    </row>
    <row r="33" spans="1:27">
      <c r="A33" s="1607" t="s">
        <v>30</v>
      </c>
      <c r="B33" s="1608"/>
      <c r="C33" s="657">
        <v>0.47599999999999998</v>
      </c>
      <c r="D33" s="1466" t="s">
        <v>531</v>
      </c>
      <c r="E33" s="1467"/>
      <c r="F33" s="1467"/>
      <c r="G33" s="1467"/>
      <c r="H33" s="1467"/>
      <c r="I33" s="1467"/>
      <c r="J33" s="1467"/>
      <c r="K33" s="1467"/>
      <c r="L33" s="1467"/>
      <c r="M33" s="1467"/>
      <c r="N33" s="1468"/>
      <c r="X33" s="627">
        <v>213210</v>
      </c>
      <c r="Y33" s="627">
        <v>6</v>
      </c>
      <c r="Z33" s="628" t="s">
        <v>286</v>
      </c>
      <c r="AA33" s="628" t="s">
        <v>532</v>
      </c>
    </row>
    <row r="34" spans="1:27">
      <c r="A34" s="1609" t="s">
        <v>533</v>
      </c>
      <c r="B34" s="1610"/>
      <c r="C34" s="657">
        <v>0.193</v>
      </c>
      <c r="D34" s="1443" t="s">
        <v>534</v>
      </c>
      <c r="E34" s="867"/>
      <c r="F34" s="867"/>
      <c r="G34" s="867"/>
      <c r="H34" s="867"/>
      <c r="I34" s="867"/>
      <c r="J34" s="867"/>
      <c r="K34" s="867"/>
      <c r="L34" s="867"/>
      <c r="M34" s="867"/>
      <c r="N34" s="1444"/>
      <c r="X34" s="627">
        <v>213220</v>
      </c>
      <c r="Y34" s="627">
        <v>6</v>
      </c>
      <c r="Z34" s="628" t="s">
        <v>286</v>
      </c>
      <c r="AA34" s="628" t="s">
        <v>535</v>
      </c>
    </row>
    <row r="35" spans="1:27">
      <c r="A35" s="1609" t="s">
        <v>536</v>
      </c>
      <c r="B35" s="1610"/>
      <c r="C35" s="657">
        <v>0</v>
      </c>
      <c r="D35" s="1443" t="s">
        <v>537</v>
      </c>
      <c r="E35" s="867"/>
      <c r="F35" s="867"/>
      <c r="G35" s="867"/>
      <c r="H35" s="867"/>
      <c r="I35" s="867"/>
      <c r="J35" s="867"/>
      <c r="K35" s="867"/>
      <c r="L35" s="867"/>
      <c r="M35" s="867"/>
      <c r="N35" s="1444"/>
      <c r="X35" s="627">
        <v>213310</v>
      </c>
      <c r="Y35" s="627">
        <v>6</v>
      </c>
      <c r="Z35" s="628" t="s">
        <v>286</v>
      </c>
      <c r="AA35" s="628" t="s">
        <v>538</v>
      </c>
    </row>
    <row r="36" spans="1:27">
      <c r="A36" s="1609" t="s">
        <v>539</v>
      </c>
      <c r="B36" s="1610"/>
      <c r="C36" s="657">
        <v>0.08</v>
      </c>
      <c r="D36" s="1443" t="s">
        <v>540</v>
      </c>
      <c r="E36" s="867"/>
      <c r="F36" s="867"/>
      <c r="G36" s="867"/>
      <c r="H36" s="867"/>
      <c r="I36" s="867"/>
      <c r="J36" s="867"/>
      <c r="K36" s="867"/>
      <c r="L36" s="867"/>
      <c r="M36" s="867"/>
      <c r="N36" s="1444"/>
      <c r="X36" s="627">
        <v>214010</v>
      </c>
      <c r="Y36" s="627">
        <v>6</v>
      </c>
      <c r="Z36" s="628" t="s">
        <v>286</v>
      </c>
      <c r="AA36" s="628" t="s">
        <v>541</v>
      </c>
    </row>
    <row r="37" spans="1:27" ht="21.75" customHeight="1">
      <c r="A37" s="1611" t="s">
        <v>542</v>
      </c>
      <c r="B37" s="1612"/>
      <c r="C37" s="590"/>
      <c r="D37" s="1460" t="s">
        <v>543</v>
      </c>
      <c r="E37" s="1461"/>
      <c r="F37" s="1461"/>
      <c r="G37" s="1461"/>
      <c r="H37" s="1461"/>
      <c r="I37" s="1461"/>
      <c r="J37" s="1461"/>
      <c r="K37" s="1461"/>
      <c r="L37" s="1461"/>
      <c r="M37" s="1461"/>
      <c r="N37" s="1462"/>
      <c r="X37" s="627">
        <v>214110</v>
      </c>
      <c r="Y37" s="627">
        <v>6</v>
      </c>
      <c r="Z37" s="628" t="s">
        <v>286</v>
      </c>
      <c r="AA37" s="628" t="s">
        <v>544</v>
      </c>
    </row>
    <row r="38" spans="1:27" ht="15" customHeight="1">
      <c r="A38" s="1437" t="s">
        <v>545</v>
      </c>
      <c r="B38" s="1438"/>
      <c r="C38" s="1439"/>
      <c r="D38" s="1431" t="s">
        <v>546</v>
      </c>
      <c r="E38" s="1432"/>
      <c r="F38" s="1432"/>
      <c r="G38" s="1432"/>
      <c r="H38" s="1432"/>
      <c r="I38" s="1432"/>
      <c r="J38" s="1432"/>
      <c r="K38" s="1432"/>
      <c r="L38" s="1432"/>
      <c r="M38" s="1432"/>
      <c r="N38" s="1433"/>
      <c r="X38" s="627">
        <v>214210</v>
      </c>
      <c r="Y38" s="627">
        <v>6</v>
      </c>
      <c r="Z38" s="628" t="s">
        <v>286</v>
      </c>
      <c r="AA38" s="628" t="s">
        <v>547</v>
      </c>
    </row>
    <row r="39" spans="1:27" ht="15" customHeight="1">
      <c r="A39" s="1440"/>
      <c r="B39" s="1441"/>
      <c r="C39" s="1442"/>
      <c r="D39" s="1434"/>
      <c r="E39" s="1435"/>
      <c r="F39" s="1435"/>
      <c r="G39" s="1435"/>
      <c r="H39" s="1435"/>
      <c r="I39" s="1435"/>
      <c r="J39" s="1435"/>
      <c r="K39" s="1435"/>
      <c r="L39" s="1435"/>
      <c r="M39" s="1435"/>
      <c r="N39" s="1436"/>
      <c r="X39" s="627">
        <v>214310</v>
      </c>
      <c r="Y39" s="627">
        <v>6</v>
      </c>
      <c r="Z39" s="628" t="s">
        <v>286</v>
      </c>
      <c r="AA39" s="628" t="s">
        <v>548</v>
      </c>
    </row>
    <row r="40" spans="1:27" ht="15" customHeight="1">
      <c r="A40" s="1449" t="s">
        <v>549</v>
      </c>
      <c r="B40" s="1450"/>
      <c r="C40" s="1451"/>
      <c r="D40" s="1425" t="s">
        <v>550</v>
      </c>
      <c r="E40" s="1426"/>
      <c r="F40" s="1426"/>
      <c r="G40" s="1426"/>
      <c r="H40" s="1426"/>
      <c r="I40" s="1426"/>
      <c r="J40" s="1426"/>
      <c r="K40" s="1426"/>
      <c r="L40" s="1426"/>
      <c r="M40" s="1426"/>
      <c r="N40" s="1427"/>
      <c r="X40" s="627">
        <v>214410</v>
      </c>
      <c r="Y40" s="627">
        <v>6</v>
      </c>
      <c r="Z40" s="628" t="s">
        <v>286</v>
      </c>
      <c r="AA40" s="628" t="s">
        <v>551</v>
      </c>
    </row>
    <row r="41" spans="1:27">
      <c r="A41" s="1452"/>
      <c r="B41" s="1453"/>
      <c r="C41" s="1454"/>
      <c r="D41" s="1428" t="s">
        <v>552</v>
      </c>
      <c r="E41" s="1429"/>
      <c r="F41" s="1429"/>
      <c r="G41" s="1429"/>
      <c r="H41" s="1429"/>
      <c r="I41" s="1429"/>
      <c r="J41" s="1429"/>
      <c r="K41" s="1429"/>
      <c r="L41" s="1429"/>
      <c r="M41" s="1429"/>
      <c r="N41" s="1430"/>
      <c r="X41" s="627">
        <v>214510</v>
      </c>
      <c r="Y41" s="627">
        <v>6</v>
      </c>
      <c r="Z41" s="628" t="s">
        <v>286</v>
      </c>
      <c r="AA41" s="628" t="s">
        <v>553</v>
      </c>
    </row>
    <row r="42" spans="1:27">
      <c r="X42" s="627">
        <v>214610</v>
      </c>
      <c r="Y42" s="627">
        <v>6</v>
      </c>
      <c r="Z42" s="628" t="s">
        <v>286</v>
      </c>
      <c r="AA42" s="628" t="s">
        <v>554</v>
      </c>
    </row>
    <row r="43" spans="1:27">
      <c r="A43" s="824"/>
      <c r="B43" s="824"/>
      <c r="X43" s="627">
        <v>214810</v>
      </c>
      <c r="Y43" s="627">
        <v>6</v>
      </c>
      <c r="Z43" s="628" t="s">
        <v>286</v>
      </c>
      <c r="AA43" s="628" t="s">
        <v>555</v>
      </c>
    </row>
    <row r="44" spans="1:27">
      <c r="X44" s="627">
        <v>214910</v>
      </c>
      <c r="Y44" s="627">
        <v>6</v>
      </c>
      <c r="Z44" s="628" t="s">
        <v>286</v>
      </c>
      <c r="AA44" s="628" t="s">
        <v>556</v>
      </c>
    </row>
    <row r="45" spans="1:27">
      <c r="X45" s="627">
        <v>215010</v>
      </c>
      <c r="Y45" s="627">
        <v>6</v>
      </c>
      <c r="Z45" s="628" t="s">
        <v>286</v>
      </c>
      <c r="AA45" s="628" t="s">
        <v>557</v>
      </c>
    </row>
    <row r="46" spans="1:27">
      <c r="X46" s="627">
        <v>215020</v>
      </c>
      <c r="Y46" s="627">
        <v>6</v>
      </c>
      <c r="Z46" s="628" t="s">
        <v>286</v>
      </c>
      <c r="AA46" s="628" t="s">
        <v>558</v>
      </c>
    </row>
    <row r="47" spans="1:27">
      <c r="X47" s="627">
        <v>217010</v>
      </c>
      <c r="Y47" s="627">
        <v>6</v>
      </c>
      <c r="Z47" s="628" t="s">
        <v>286</v>
      </c>
      <c r="AA47" s="628" t="s">
        <v>559</v>
      </c>
    </row>
    <row r="48" spans="1:27">
      <c r="X48" s="627">
        <v>217020</v>
      </c>
      <c r="Y48" s="627">
        <v>6</v>
      </c>
      <c r="Z48" s="628" t="s">
        <v>286</v>
      </c>
      <c r="AA48" s="628" t="s">
        <v>560</v>
      </c>
    </row>
    <row r="49" spans="24:27">
      <c r="X49" s="627">
        <v>217099</v>
      </c>
      <c r="Y49" s="627">
        <v>6</v>
      </c>
      <c r="Z49" s="628" t="s">
        <v>286</v>
      </c>
      <c r="AA49" s="628" t="s">
        <v>561</v>
      </c>
    </row>
    <row r="50" spans="24:27">
      <c r="X50" s="627">
        <v>218105</v>
      </c>
      <c r="Y50" s="627">
        <v>6</v>
      </c>
      <c r="Z50" s="628" t="s">
        <v>286</v>
      </c>
      <c r="AA50" s="628" t="s">
        <v>296</v>
      </c>
    </row>
    <row r="51" spans="24:27">
      <c r="X51" s="627">
        <v>218106</v>
      </c>
      <c r="Y51" s="627">
        <v>6</v>
      </c>
      <c r="Z51" s="628" t="s">
        <v>286</v>
      </c>
      <c r="AA51" s="628" t="s">
        <v>297</v>
      </c>
    </row>
    <row r="52" spans="24:27">
      <c r="X52" s="627">
        <v>218107</v>
      </c>
      <c r="Y52" s="627">
        <v>6</v>
      </c>
      <c r="Z52" s="628" t="s">
        <v>286</v>
      </c>
      <c r="AA52" s="628" t="s">
        <v>562</v>
      </c>
    </row>
    <row r="53" spans="24:27">
      <c r="X53" s="627">
        <v>218108</v>
      </c>
      <c r="Y53" s="627">
        <v>6</v>
      </c>
      <c r="Z53" s="628" t="s">
        <v>286</v>
      </c>
      <c r="AA53" s="628" t="s">
        <v>563</v>
      </c>
    </row>
    <row r="54" spans="24:27">
      <c r="X54" s="627">
        <v>218210</v>
      </c>
      <c r="Y54" s="627">
        <v>6</v>
      </c>
      <c r="Z54" s="628" t="s">
        <v>286</v>
      </c>
      <c r="AA54" s="628" t="s">
        <v>564</v>
      </c>
    </row>
    <row r="55" spans="24:27">
      <c r="X55" s="627">
        <v>218310</v>
      </c>
      <c r="Y55" s="627">
        <v>6</v>
      </c>
      <c r="Z55" s="628" t="s">
        <v>286</v>
      </c>
      <c r="AA55" s="628" t="s">
        <v>565</v>
      </c>
    </row>
    <row r="56" spans="24:27">
      <c r="X56" s="627">
        <v>218410</v>
      </c>
      <c r="Y56" s="627">
        <v>6</v>
      </c>
      <c r="Z56" s="628" t="s">
        <v>286</v>
      </c>
      <c r="AA56" s="628" t="s">
        <v>566</v>
      </c>
    </row>
    <row r="57" spans="24:27">
      <c r="X57" s="627">
        <v>218510</v>
      </c>
      <c r="Y57" s="627">
        <v>6</v>
      </c>
      <c r="Z57" s="628" t="s">
        <v>286</v>
      </c>
      <c r="AA57" s="628" t="s">
        <v>567</v>
      </c>
    </row>
    <row r="58" spans="24:27">
      <c r="X58" s="627">
        <v>218610</v>
      </c>
      <c r="Y58" s="627">
        <v>6</v>
      </c>
      <c r="Z58" s="628" t="s">
        <v>286</v>
      </c>
      <c r="AA58" s="628" t="s">
        <v>568</v>
      </c>
    </row>
    <row r="59" spans="24:27">
      <c r="X59" s="627">
        <v>218710</v>
      </c>
      <c r="Y59" s="627">
        <v>6</v>
      </c>
      <c r="Z59" s="628" t="s">
        <v>286</v>
      </c>
      <c r="AA59" s="628" t="s">
        <v>569</v>
      </c>
    </row>
    <row r="60" spans="24:27">
      <c r="X60" s="627">
        <v>218810</v>
      </c>
      <c r="Y60" s="627">
        <v>6</v>
      </c>
      <c r="Z60" s="628" t="s">
        <v>286</v>
      </c>
      <c r="AA60" s="628" t="s">
        <v>570</v>
      </c>
    </row>
    <row r="61" spans="24:27">
      <c r="X61" s="627">
        <v>219110</v>
      </c>
      <c r="Y61" s="627">
        <v>6</v>
      </c>
      <c r="Z61" s="628" t="s">
        <v>286</v>
      </c>
      <c r="AA61" s="628" t="s">
        <v>571</v>
      </c>
    </row>
    <row r="62" spans="24:27">
      <c r="X62" s="627">
        <v>219250</v>
      </c>
      <c r="Y62" s="627">
        <v>6</v>
      </c>
      <c r="Z62" s="628" t="s">
        <v>286</v>
      </c>
      <c r="AA62" s="628" t="s">
        <v>572</v>
      </c>
    </row>
    <row r="63" spans="24:27">
      <c r="X63" s="627">
        <v>219251</v>
      </c>
      <c r="Y63" s="627">
        <v>6</v>
      </c>
      <c r="Z63" s="628" t="s">
        <v>286</v>
      </c>
      <c r="AA63" s="628" t="s">
        <v>573</v>
      </c>
    </row>
    <row r="64" spans="24:27">
      <c r="X64" s="627">
        <v>219252</v>
      </c>
      <c r="Y64" s="627">
        <v>6</v>
      </c>
      <c r="Z64" s="628" t="s">
        <v>286</v>
      </c>
      <c r="AA64" s="628" t="s">
        <v>574</v>
      </c>
    </row>
    <row r="65" spans="24:27">
      <c r="X65" s="627">
        <v>219253</v>
      </c>
      <c r="Y65" s="627">
        <v>6</v>
      </c>
      <c r="Z65" s="628" t="s">
        <v>286</v>
      </c>
      <c r="AA65" s="628" t="s">
        <v>575</v>
      </c>
    </row>
    <row r="66" spans="24:27">
      <c r="X66" s="627">
        <v>219310</v>
      </c>
      <c r="Y66" s="627">
        <v>6</v>
      </c>
      <c r="Z66" s="628" t="s">
        <v>286</v>
      </c>
      <c r="AA66" s="628" t="s">
        <v>576</v>
      </c>
    </row>
    <row r="67" spans="24:27">
      <c r="X67" s="627">
        <v>219320</v>
      </c>
      <c r="Y67" s="627">
        <v>6</v>
      </c>
      <c r="Z67" s="628" t="s">
        <v>286</v>
      </c>
      <c r="AA67" s="628" t="s">
        <v>577</v>
      </c>
    </row>
    <row r="68" spans="24:27">
      <c r="X68" s="627">
        <v>219904</v>
      </c>
      <c r="Y68" s="627">
        <v>6</v>
      </c>
      <c r="Z68" s="628" t="s">
        <v>286</v>
      </c>
      <c r="AA68" s="628" t="s">
        <v>578</v>
      </c>
    </row>
    <row r="69" spans="24:27">
      <c r="X69" s="627">
        <v>219905</v>
      </c>
      <c r="Y69" s="627">
        <v>6</v>
      </c>
      <c r="Z69" s="628" t="s">
        <v>286</v>
      </c>
      <c r="AA69" s="628" t="s">
        <v>579</v>
      </c>
    </row>
    <row r="70" spans="24:27">
      <c r="X70" s="627">
        <v>219906</v>
      </c>
      <c r="Y70" s="627">
        <v>6</v>
      </c>
      <c r="Z70" s="628" t="s">
        <v>286</v>
      </c>
      <c r="AA70" s="628" t="s">
        <v>580</v>
      </c>
    </row>
    <row r="71" spans="24:27">
      <c r="X71" s="627">
        <v>219907</v>
      </c>
      <c r="Y71" s="627">
        <v>6</v>
      </c>
      <c r="Z71" s="628" t="s">
        <v>286</v>
      </c>
      <c r="AA71" s="628" t="s">
        <v>581</v>
      </c>
    </row>
    <row r="72" spans="24:27">
      <c r="X72" s="627">
        <v>219908</v>
      </c>
      <c r="Y72" s="627">
        <v>6</v>
      </c>
      <c r="Z72" s="628" t="s">
        <v>286</v>
      </c>
      <c r="AA72" s="628" t="s">
        <v>582</v>
      </c>
    </row>
    <row r="73" spans="24:27">
      <c r="X73" s="627">
        <v>219909</v>
      </c>
      <c r="Y73" s="627">
        <v>6</v>
      </c>
      <c r="Z73" s="628" t="s">
        <v>286</v>
      </c>
      <c r="AA73" s="628" t="s">
        <v>583</v>
      </c>
    </row>
    <row r="74" spans="24:27">
      <c r="X74" s="627">
        <v>219910</v>
      </c>
      <c r="Y74" s="627">
        <v>6</v>
      </c>
      <c r="Z74" s="628" t="s">
        <v>286</v>
      </c>
      <c r="AA74" s="628" t="s">
        <v>584</v>
      </c>
    </row>
    <row r="75" spans="24:27">
      <c r="X75" s="627">
        <v>219911</v>
      </c>
      <c r="Y75" s="627">
        <v>6</v>
      </c>
      <c r="Z75" s="628" t="s">
        <v>286</v>
      </c>
      <c r="AA75" s="628" t="s">
        <v>585</v>
      </c>
    </row>
    <row r="76" spans="24:27">
      <c r="X76" s="627">
        <v>219912</v>
      </c>
      <c r="Y76" s="627">
        <v>6</v>
      </c>
      <c r="Z76" s="628" t="s">
        <v>286</v>
      </c>
      <c r="AA76" s="628" t="s">
        <v>586</v>
      </c>
    </row>
    <row r="77" spans="24:27">
      <c r="X77" s="627">
        <v>219913</v>
      </c>
      <c r="Y77" s="627">
        <v>6</v>
      </c>
      <c r="Z77" s="628" t="s">
        <v>286</v>
      </c>
      <c r="AA77" s="628" t="s">
        <v>587</v>
      </c>
    </row>
    <row r="78" spans="24:27">
      <c r="X78" s="627">
        <v>219914</v>
      </c>
      <c r="Y78" s="627">
        <v>6</v>
      </c>
      <c r="Z78" s="628" t="s">
        <v>286</v>
      </c>
      <c r="AA78" s="628" t="s">
        <v>588</v>
      </c>
    </row>
    <row r="79" spans="24:27">
      <c r="X79" s="627">
        <v>219915</v>
      </c>
      <c r="Y79" s="627">
        <v>6</v>
      </c>
      <c r="Z79" s="628" t="s">
        <v>286</v>
      </c>
      <c r="AA79" s="628" t="s">
        <v>589</v>
      </c>
    </row>
    <row r="80" spans="24:27">
      <c r="X80" s="627">
        <v>219916</v>
      </c>
      <c r="Y80" s="627">
        <v>6</v>
      </c>
      <c r="Z80" s="628" t="s">
        <v>286</v>
      </c>
      <c r="AA80" s="628" t="s">
        <v>590</v>
      </c>
    </row>
    <row r="81" spans="24:27">
      <c r="X81" s="627">
        <v>219917</v>
      </c>
      <c r="Y81" s="627">
        <v>6</v>
      </c>
      <c r="Z81" s="628" t="s">
        <v>286</v>
      </c>
      <c r="AA81" s="628" t="s">
        <v>591</v>
      </c>
    </row>
    <row r="82" spans="24:27">
      <c r="X82" s="627">
        <v>219918</v>
      </c>
      <c r="Y82" s="627">
        <v>6</v>
      </c>
      <c r="Z82" s="628" t="s">
        <v>286</v>
      </c>
      <c r="AA82" s="628" t="s">
        <v>592</v>
      </c>
    </row>
    <row r="83" spans="24:27">
      <c r="X83" s="627">
        <v>219919</v>
      </c>
      <c r="Y83" s="627">
        <v>6</v>
      </c>
      <c r="Z83" s="628" t="s">
        <v>286</v>
      </c>
      <c r="AA83" s="628" t="s">
        <v>593</v>
      </c>
    </row>
    <row r="84" spans="24:27">
      <c r="X84" s="627">
        <v>219920</v>
      </c>
      <c r="Y84" s="627">
        <v>6</v>
      </c>
      <c r="Z84" s="628" t="s">
        <v>286</v>
      </c>
      <c r="AA84" s="628" t="s">
        <v>594</v>
      </c>
    </row>
    <row r="85" spans="24:27">
      <c r="X85" s="627">
        <v>219921</v>
      </c>
      <c r="Y85" s="627">
        <v>6</v>
      </c>
      <c r="Z85" s="628" t="s">
        <v>286</v>
      </c>
      <c r="AA85" s="628" t="s">
        <v>595</v>
      </c>
    </row>
    <row r="86" spans="24:27">
      <c r="X86" s="627">
        <v>219922</v>
      </c>
      <c r="Y86" s="627">
        <v>6</v>
      </c>
      <c r="Z86" s="628" t="s">
        <v>286</v>
      </c>
      <c r="AA86" s="628" t="s">
        <v>596</v>
      </c>
    </row>
    <row r="87" spans="24:27">
      <c r="X87" s="627">
        <v>219923</v>
      </c>
      <c r="Y87" s="627">
        <v>6</v>
      </c>
      <c r="Z87" s="628" t="s">
        <v>286</v>
      </c>
      <c r="AA87" s="628" t="s">
        <v>597</v>
      </c>
    </row>
    <row r="88" spans="24:27">
      <c r="X88" s="627">
        <v>219926</v>
      </c>
      <c r="Y88" s="627">
        <v>6</v>
      </c>
      <c r="Z88" s="628" t="s">
        <v>286</v>
      </c>
      <c r="AA88" s="628" t="s">
        <v>598</v>
      </c>
    </row>
    <row r="89" spans="24:27">
      <c r="X89" s="627">
        <v>219999</v>
      </c>
      <c r="Y89" s="627">
        <v>6</v>
      </c>
      <c r="Z89" s="628" t="s">
        <v>286</v>
      </c>
      <c r="AA89" s="628" t="s">
        <v>599</v>
      </c>
    </row>
    <row r="90" spans="24:27">
      <c r="X90" s="629" t="s">
        <v>600</v>
      </c>
      <c r="Y90" s="629">
        <v>7</v>
      </c>
      <c r="Z90" s="630" t="s">
        <v>601</v>
      </c>
      <c r="AA90" s="630" t="s">
        <v>601</v>
      </c>
    </row>
    <row r="91" spans="24:27">
      <c r="X91" s="629">
        <v>231010</v>
      </c>
      <c r="Y91" s="629">
        <v>7</v>
      </c>
      <c r="Z91" s="630" t="s">
        <v>601</v>
      </c>
      <c r="AA91" s="630" t="s">
        <v>602</v>
      </c>
    </row>
    <row r="92" spans="24:27">
      <c r="X92" s="629">
        <v>232010</v>
      </c>
      <c r="Y92" s="629">
        <v>7</v>
      </c>
      <c r="Z92" s="630" t="s">
        <v>601</v>
      </c>
      <c r="AA92" s="630" t="s">
        <v>603</v>
      </c>
    </row>
    <row r="93" spans="24:27">
      <c r="X93" s="629">
        <v>233110</v>
      </c>
      <c r="Y93" s="629">
        <v>7</v>
      </c>
      <c r="Z93" s="630" t="s">
        <v>601</v>
      </c>
      <c r="AA93" s="630" t="s">
        <v>604</v>
      </c>
    </row>
    <row r="94" spans="24:27">
      <c r="X94" s="629">
        <v>233120</v>
      </c>
      <c r="Y94" s="629">
        <v>7</v>
      </c>
      <c r="Z94" s="630" t="s">
        <v>601</v>
      </c>
      <c r="AA94" s="630" t="s">
        <v>605</v>
      </c>
    </row>
    <row r="95" spans="24:27">
      <c r="X95" s="629">
        <v>233210</v>
      </c>
      <c r="Y95" s="629">
        <v>7</v>
      </c>
      <c r="Z95" s="630" t="s">
        <v>601</v>
      </c>
      <c r="AA95" s="630" t="s">
        <v>606</v>
      </c>
    </row>
    <row r="96" spans="24:27">
      <c r="X96" s="629">
        <v>233310</v>
      </c>
      <c r="Y96" s="629">
        <v>7</v>
      </c>
      <c r="Z96" s="630" t="s">
        <v>601</v>
      </c>
      <c r="AA96" s="630" t="s">
        <v>607</v>
      </c>
    </row>
    <row r="97" spans="24:27">
      <c r="X97" s="629">
        <v>233410</v>
      </c>
      <c r="Y97" s="629">
        <v>7</v>
      </c>
      <c r="Z97" s="630" t="s">
        <v>601</v>
      </c>
      <c r="AA97" s="630" t="s">
        <v>608</v>
      </c>
    </row>
    <row r="98" spans="24:27">
      <c r="X98" s="629">
        <v>233510</v>
      </c>
      <c r="Y98" s="629">
        <v>7</v>
      </c>
      <c r="Z98" s="630" t="s">
        <v>601</v>
      </c>
      <c r="AA98" s="630" t="s">
        <v>609</v>
      </c>
    </row>
    <row r="99" spans="24:27">
      <c r="X99" s="629">
        <v>233610</v>
      </c>
      <c r="Y99" s="629">
        <v>7</v>
      </c>
      <c r="Z99" s="630" t="s">
        <v>601</v>
      </c>
      <c r="AA99" s="630" t="s">
        <v>610</v>
      </c>
    </row>
    <row r="100" spans="24:27">
      <c r="X100" s="629">
        <v>233710</v>
      </c>
      <c r="Y100" s="629">
        <v>7</v>
      </c>
      <c r="Z100" s="630" t="s">
        <v>601</v>
      </c>
      <c r="AA100" s="630" t="s">
        <v>611</v>
      </c>
    </row>
    <row r="101" spans="24:27">
      <c r="X101" s="629">
        <v>233810</v>
      </c>
      <c r="Y101" s="629">
        <v>7</v>
      </c>
      <c r="Z101" s="630" t="s">
        <v>601</v>
      </c>
      <c r="AA101" s="630" t="s">
        <v>612</v>
      </c>
    </row>
    <row r="102" spans="24:27">
      <c r="X102" s="629">
        <v>239010</v>
      </c>
      <c r="Y102" s="629">
        <v>7</v>
      </c>
      <c r="Z102" s="630" t="s">
        <v>601</v>
      </c>
      <c r="AA102" s="630" t="s">
        <v>613</v>
      </c>
    </row>
    <row r="103" spans="24:27">
      <c r="X103" s="629">
        <v>241010</v>
      </c>
      <c r="Y103" s="629">
        <v>7</v>
      </c>
      <c r="Z103" s="630" t="s">
        <v>601</v>
      </c>
      <c r="AA103" s="630" t="s">
        <v>614</v>
      </c>
    </row>
    <row r="104" spans="24:27">
      <c r="X104" s="629">
        <v>242010</v>
      </c>
      <c r="Y104" s="629">
        <v>7</v>
      </c>
      <c r="Z104" s="630" t="s">
        <v>601</v>
      </c>
      <c r="AA104" s="630" t="s">
        <v>615</v>
      </c>
    </row>
    <row r="105" spans="24:27">
      <c r="X105" s="629">
        <v>243010</v>
      </c>
      <c r="Y105" s="629">
        <v>7</v>
      </c>
      <c r="Z105" s="630" t="s">
        <v>601</v>
      </c>
      <c r="AA105" s="630" t="s">
        <v>616</v>
      </c>
    </row>
    <row r="106" spans="24:27">
      <c r="X106" s="629">
        <v>244110</v>
      </c>
      <c r="Y106" s="629">
        <v>7</v>
      </c>
      <c r="Z106" s="630" t="s">
        <v>601</v>
      </c>
      <c r="AA106" s="630" t="s">
        <v>617</v>
      </c>
    </row>
    <row r="107" spans="24:27">
      <c r="X107" s="629">
        <v>244210</v>
      </c>
      <c r="Y107" s="629">
        <v>7</v>
      </c>
      <c r="Z107" s="630" t="s">
        <v>601</v>
      </c>
      <c r="AA107" s="630" t="s">
        <v>618</v>
      </c>
    </row>
    <row r="108" spans="24:27">
      <c r="X108" s="629">
        <v>244310</v>
      </c>
      <c r="Y108" s="629">
        <v>7</v>
      </c>
      <c r="Z108" s="630" t="s">
        <v>601</v>
      </c>
      <c r="AA108" s="630" t="s">
        <v>619</v>
      </c>
    </row>
    <row r="109" spans="24:27">
      <c r="X109" s="629">
        <v>244410</v>
      </c>
      <c r="Y109" s="629">
        <v>7</v>
      </c>
      <c r="Z109" s="630" t="s">
        <v>601</v>
      </c>
      <c r="AA109" s="630" t="s">
        <v>620</v>
      </c>
    </row>
    <row r="110" spans="24:27">
      <c r="X110" s="629">
        <v>244510</v>
      </c>
      <c r="Y110" s="629">
        <v>7</v>
      </c>
      <c r="Z110" s="630" t="s">
        <v>601</v>
      </c>
      <c r="AA110" s="630" t="s">
        <v>621</v>
      </c>
    </row>
    <row r="111" spans="24:27">
      <c r="X111" s="629">
        <v>244610</v>
      </c>
      <c r="Y111" s="629">
        <v>7</v>
      </c>
      <c r="Z111" s="630" t="s">
        <v>601</v>
      </c>
      <c r="AA111" s="630" t="s">
        <v>622</v>
      </c>
    </row>
    <row r="112" spans="24:27">
      <c r="X112" s="629">
        <v>244710</v>
      </c>
      <c r="Y112" s="629">
        <v>7</v>
      </c>
      <c r="Z112" s="630" t="s">
        <v>601</v>
      </c>
      <c r="AA112" s="630" t="s">
        <v>623</v>
      </c>
    </row>
    <row r="113" spans="24:27">
      <c r="X113" s="629">
        <v>244810</v>
      </c>
      <c r="Y113" s="629">
        <v>7</v>
      </c>
      <c r="Z113" s="630" t="s">
        <v>601</v>
      </c>
      <c r="AA113" s="630" t="s">
        <v>624</v>
      </c>
    </row>
    <row r="114" spans="24:27">
      <c r="X114" s="629">
        <v>244910</v>
      </c>
      <c r="Y114" s="629">
        <v>7</v>
      </c>
      <c r="Z114" s="630" t="s">
        <v>601</v>
      </c>
      <c r="AA114" s="630" t="s">
        <v>625</v>
      </c>
    </row>
    <row r="115" spans="24:27">
      <c r="X115" s="629">
        <v>245010</v>
      </c>
      <c r="Y115" s="629">
        <v>7</v>
      </c>
      <c r="Z115" s="630" t="s">
        <v>601</v>
      </c>
      <c r="AA115" s="630" t="s">
        <v>626</v>
      </c>
    </row>
    <row r="116" spans="24:27">
      <c r="X116" s="629">
        <v>245110</v>
      </c>
      <c r="Y116" s="629">
        <v>7</v>
      </c>
      <c r="Z116" s="630" t="s">
        <v>601</v>
      </c>
      <c r="AA116" s="630" t="s">
        <v>627</v>
      </c>
    </row>
    <row r="117" spans="24:27">
      <c r="X117" s="629">
        <v>245210</v>
      </c>
      <c r="Y117" s="629">
        <v>7</v>
      </c>
      <c r="Z117" s="630" t="s">
        <v>601</v>
      </c>
      <c r="AA117" s="630" t="s">
        <v>628</v>
      </c>
    </row>
    <row r="118" spans="24:27">
      <c r="X118" s="629">
        <v>249010</v>
      </c>
      <c r="Y118" s="629">
        <v>7</v>
      </c>
      <c r="Z118" s="630" t="s">
        <v>601</v>
      </c>
      <c r="AA118" s="630" t="s">
        <v>629</v>
      </c>
    </row>
    <row r="119" spans="24:27">
      <c r="X119" s="629">
        <v>251110</v>
      </c>
      <c r="Y119" s="629">
        <v>7</v>
      </c>
      <c r="Z119" s="630" t="s">
        <v>601</v>
      </c>
      <c r="AA119" s="630" t="s">
        <v>630</v>
      </c>
    </row>
    <row r="120" spans="24:27">
      <c r="X120" s="629">
        <v>251210</v>
      </c>
      <c r="Y120" s="629">
        <v>7</v>
      </c>
      <c r="Z120" s="630" t="s">
        <v>601</v>
      </c>
      <c r="AA120" s="630" t="s">
        <v>631</v>
      </c>
    </row>
    <row r="121" spans="24:27">
      <c r="X121" s="629">
        <v>251310</v>
      </c>
      <c r="Y121" s="629">
        <v>7</v>
      </c>
      <c r="Z121" s="630" t="s">
        <v>601</v>
      </c>
      <c r="AA121" s="630" t="s">
        <v>300</v>
      </c>
    </row>
    <row r="122" spans="24:27">
      <c r="X122" s="629">
        <v>251320</v>
      </c>
      <c r="Y122" s="629">
        <v>7</v>
      </c>
      <c r="Z122" s="630" t="s">
        <v>601</v>
      </c>
      <c r="AA122" s="630" t="s">
        <v>632</v>
      </c>
    </row>
    <row r="123" spans="24:27">
      <c r="X123" s="629">
        <v>252110</v>
      </c>
      <c r="Y123" s="629">
        <v>7</v>
      </c>
      <c r="Z123" s="630" t="s">
        <v>601</v>
      </c>
      <c r="AA123" s="630" t="s">
        <v>302</v>
      </c>
    </row>
    <row r="124" spans="24:27">
      <c r="X124" s="629">
        <v>252310</v>
      </c>
      <c r="Y124" s="629">
        <v>7</v>
      </c>
      <c r="Z124" s="630" t="s">
        <v>601</v>
      </c>
      <c r="AA124" s="630" t="s">
        <v>633</v>
      </c>
    </row>
    <row r="125" spans="24:27">
      <c r="X125" s="629">
        <v>252410</v>
      </c>
      <c r="Y125" s="629">
        <v>7</v>
      </c>
      <c r="Z125" s="630" t="s">
        <v>601</v>
      </c>
      <c r="AA125" s="630" t="s">
        <v>634</v>
      </c>
    </row>
    <row r="126" spans="24:27">
      <c r="X126" s="629">
        <v>252510</v>
      </c>
      <c r="Y126" s="629">
        <v>7</v>
      </c>
      <c r="Z126" s="630" t="s">
        <v>601</v>
      </c>
      <c r="AA126" s="630" t="s">
        <v>635</v>
      </c>
    </row>
    <row r="127" spans="24:27">
      <c r="X127" s="629">
        <v>253010</v>
      </c>
      <c r="Y127" s="629">
        <v>7</v>
      </c>
      <c r="Z127" s="630" t="s">
        <v>601</v>
      </c>
      <c r="AA127" s="630" t="s">
        <v>636</v>
      </c>
    </row>
    <row r="128" spans="24:27">
      <c r="X128" s="629">
        <v>253110</v>
      </c>
      <c r="Y128" s="629">
        <v>7</v>
      </c>
      <c r="Z128" s="630" t="s">
        <v>601</v>
      </c>
      <c r="AA128" s="630" t="s">
        <v>637</v>
      </c>
    </row>
    <row r="129" spans="24:27">
      <c r="X129" s="629">
        <v>253210</v>
      </c>
      <c r="Y129" s="629">
        <v>7</v>
      </c>
      <c r="Z129" s="630" t="s">
        <v>601</v>
      </c>
      <c r="AA129" s="630" t="s">
        <v>638</v>
      </c>
    </row>
    <row r="130" spans="24:27">
      <c r="X130" s="629">
        <v>253310</v>
      </c>
      <c r="Y130" s="629">
        <v>7</v>
      </c>
      <c r="Z130" s="630" t="s">
        <v>601</v>
      </c>
      <c r="AA130" s="630" t="s">
        <v>639</v>
      </c>
    </row>
    <row r="131" spans="24:27">
      <c r="X131" s="629">
        <v>253410</v>
      </c>
      <c r="Y131" s="629">
        <v>7</v>
      </c>
      <c r="Z131" s="630" t="s">
        <v>601</v>
      </c>
      <c r="AA131" s="630" t="s">
        <v>640</v>
      </c>
    </row>
    <row r="132" spans="24:27">
      <c r="X132" s="629">
        <v>253510</v>
      </c>
      <c r="Y132" s="629">
        <v>7</v>
      </c>
      <c r="Z132" s="630" t="s">
        <v>601</v>
      </c>
      <c r="AA132" s="630" t="s">
        <v>641</v>
      </c>
    </row>
    <row r="133" spans="24:27">
      <c r="X133" s="629">
        <v>253610</v>
      </c>
      <c r="Y133" s="629">
        <v>7</v>
      </c>
      <c r="Z133" s="630" t="s">
        <v>601</v>
      </c>
      <c r="AA133" s="630" t="s">
        <v>642</v>
      </c>
    </row>
    <row r="134" spans="24:27">
      <c r="X134" s="629">
        <v>254110</v>
      </c>
      <c r="Y134" s="629">
        <v>7</v>
      </c>
      <c r="Z134" s="630" t="s">
        <v>601</v>
      </c>
      <c r="AA134" s="630" t="s">
        <v>643</v>
      </c>
    </row>
    <row r="135" spans="24:27">
      <c r="X135" s="629">
        <v>254210</v>
      </c>
      <c r="Y135" s="629">
        <v>7</v>
      </c>
      <c r="Z135" s="630" t="s">
        <v>601</v>
      </c>
      <c r="AA135" s="630" t="s">
        <v>644</v>
      </c>
    </row>
    <row r="136" spans="24:27">
      <c r="X136" s="629">
        <v>254310</v>
      </c>
      <c r="Y136" s="629">
        <v>7</v>
      </c>
      <c r="Z136" s="630" t="s">
        <v>601</v>
      </c>
      <c r="AA136" s="630" t="s">
        <v>645</v>
      </c>
    </row>
    <row r="137" spans="24:27">
      <c r="X137" s="629">
        <v>259010</v>
      </c>
      <c r="Y137" s="629">
        <v>7</v>
      </c>
      <c r="Z137" s="630" t="s">
        <v>601</v>
      </c>
      <c r="AA137" s="630" t="s">
        <v>646</v>
      </c>
    </row>
    <row r="138" spans="24:27">
      <c r="X138" s="629">
        <v>281110</v>
      </c>
      <c r="Y138" s="629">
        <v>7</v>
      </c>
      <c r="Z138" s="630" t="s">
        <v>601</v>
      </c>
      <c r="AA138" s="630" t="s">
        <v>647</v>
      </c>
    </row>
    <row r="139" spans="24:27">
      <c r="X139" s="629">
        <v>281120</v>
      </c>
      <c r="Y139" s="629">
        <v>7</v>
      </c>
      <c r="Z139" s="630" t="s">
        <v>601</v>
      </c>
      <c r="AA139" s="630" t="s">
        <v>648</v>
      </c>
    </row>
    <row r="140" spans="24:27">
      <c r="X140" s="629">
        <v>281210</v>
      </c>
      <c r="Y140" s="629">
        <v>7</v>
      </c>
      <c r="Z140" s="630" t="s">
        <v>601</v>
      </c>
      <c r="AA140" s="630" t="s">
        <v>649</v>
      </c>
    </row>
    <row r="141" spans="24:27">
      <c r="X141" s="629">
        <v>281310</v>
      </c>
      <c r="Y141" s="629">
        <v>7</v>
      </c>
      <c r="Z141" s="630" t="s">
        <v>601</v>
      </c>
      <c r="AA141" s="630" t="s">
        <v>650</v>
      </c>
    </row>
    <row r="142" spans="24:27">
      <c r="X142" s="629">
        <v>281410</v>
      </c>
      <c r="Y142" s="629">
        <v>7</v>
      </c>
      <c r="Z142" s="630" t="s">
        <v>601</v>
      </c>
      <c r="AA142" s="630" t="s">
        <v>651</v>
      </c>
    </row>
    <row r="143" spans="24:27">
      <c r="X143" s="629">
        <v>281510</v>
      </c>
      <c r="Y143" s="629">
        <v>7</v>
      </c>
      <c r="Z143" s="630" t="s">
        <v>601</v>
      </c>
      <c r="AA143" s="630" t="s">
        <v>652</v>
      </c>
    </row>
    <row r="144" spans="24:27">
      <c r="X144" s="629">
        <v>281610</v>
      </c>
      <c r="Y144" s="629">
        <v>7</v>
      </c>
      <c r="Z144" s="630" t="s">
        <v>601</v>
      </c>
      <c r="AA144" s="630" t="s">
        <v>653</v>
      </c>
    </row>
    <row r="145" spans="24:27">
      <c r="X145" s="629">
        <v>281710</v>
      </c>
      <c r="Y145" s="629">
        <v>7</v>
      </c>
      <c r="Z145" s="630" t="s">
        <v>601</v>
      </c>
      <c r="AA145" s="630" t="s">
        <v>654</v>
      </c>
    </row>
    <row r="146" spans="24:27">
      <c r="X146" s="629">
        <v>281810</v>
      </c>
      <c r="Y146" s="629">
        <v>7</v>
      </c>
      <c r="Z146" s="630" t="s">
        <v>601</v>
      </c>
      <c r="AA146" s="630" t="s">
        <v>655</v>
      </c>
    </row>
    <row r="147" spans="24:27">
      <c r="X147" s="629">
        <v>281910</v>
      </c>
      <c r="Y147" s="629">
        <v>7</v>
      </c>
      <c r="Z147" s="630" t="s">
        <v>601</v>
      </c>
      <c r="AA147" s="630" t="s">
        <v>656</v>
      </c>
    </row>
    <row r="148" spans="24:27">
      <c r="X148" s="629">
        <v>282110</v>
      </c>
      <c r="Y148" s="629">
        <v>7</v>
      </c>
      <c r="Z148" s="630" t="s">
        <v>601</v>
      </c>
      <c r="AA148" s="630" t="s">
        <v>657</v>
      </c>
    </row>
    <row r="149" spans="24:27">
      <c r="X149" s="629">
        <v>282120</v>
      </c>
      <c r="Y149" s="629">
        <v>7</v>
      </c>
      <c r="Z149" s="630" t="s">
        <v>601</v>
      </c>
      <c r="AA149" s="630" t="s">
        <v>658</v>
      </c>
    </row>
    <row r="150" spans="24:27">
      <c r="X150" s="629">
        <v>282210</v>
      </c>
      <c r="Y150" s="629">
        <v>7</v>
      </c>
      <c r="Z150" s="630" t="s">
        <v>601</v>
      </c>
      <c r="AA150" s="630" t="s">
        <v>659</v>
      </c>
    </row>
    <row r="151" spans="24:27">
      <c r="X151" s="629">
        <v>282310</v>
      </c>
      <c r="Y151" s="629">
        <v>7</v>
      </c>
      <c r="Z151" s="630" t="s">
        <v>601</v>
      </c>
      <c r="AA151" s="630" t="s">
        <v>660</v>
      </c>
    </row>
    <row r="152" spans="24:27">
      <c r="X152" s="629">
        <v>282410</v>
      </c>
      <c r="Y152" s="629">
        <v>7</v>
      </c>
      <c r="Z152" s="630" t="s">
        <v>601</v>
      </c>
      <c r="AA152" s="630" t="s">
        <v>661</v>
      </c>
    </row>
    <row r="153" spans="24:27">
      <c r="X153" s="629">
        <v>282510</v>
      </c>
      <c r="Y153" s="629">
        <v>7</v>
      </c>
      <c r="Z153" s="630" t="s">
        <v>601</v>
      </c>
      <c r="AA153" s="630" t="s">
        <v>662</v>
      </c>
    </row>
    <row r="154" spans="24:27">
      <c r="X154" s="629">
        <v>282610</v>
      </c>
      <c r="Y154" s="629">
        <v>7</v>
      </c>
      <c r="Z154" s="630" t="s">
        <v>601</v>
      </c>
      <c r="AA154" s="630" t="s">
        <v>289</v>
      </c>
    </row>
    <row r="155" spans="24:27">
      <c r="X155" s="629">
        <v>282710</v>
      </c>
      <c r="Y155" s="629">
        <v>7</v>
      </c>
      <c r="Z155" s="630" t="s">
        <v>601</v>
      </c>
      <c r="AA155" s="630" t="s">
        <v>663</v>
      </c>
    </row>
    <row r="156" spans="24:27">
      <c r="X156" s="629">
        <v>282810</v>
      </c>
      <c r="Y156" s="629">
        <v>7</v>
      </c>
      <c r="Z156" s="630" t="s">
        <v>601</v>
      </c>
      <c r="AA156" s="630" t="s">
        <v>664</v>
      </c>
    </row>
    <row r="157" spans="24:27">
      <c r="X157" s="629">
        <v>284010</v>
      </c>
      <c r="Y157" s="629">
        <v>7</v>
      </c>
      <c r="Z157" s="630" t="s">
        <v>601</v>
      </c>
      <c r="AA157" s="630" t="s">
        <v>291</v>
      </c>
    </row>
    <row r="158" spans="24:27">
      <c r="X158" s="629">
        <v>284020</v>
      </c>
      <c r="Y158" s="629">
        <v>7</v>
      </c>
      <c r="Z158" s="630" t="s">
        <v>601</v>
      </c>
      <c r="AA158" s="630" t="s">
        <v>665</v>
      </c>
    </row>
    <row r="159" spans="24:27">
      <c r="X159" s="629">
        <v>284030</v>
      </c>
      <c r="Y159" s="629">
        <v>7</v>
      </c>
      <c r="Z159" s="630" t="s">
        <v>601</v>
      </c>
      <c r="AA159" s="630" t="s">
        <v>666</v>
      </c>
    </row>
    <row r="160" spans="24:27">
      <c r="X160" s="629">
        <v>284040</v>
      </c>
      <c r="Y160" s="629">
        <v>7</v>
      </c>
      <c r="Z160" s="630" t="s">
        <v>601</v>
      </c>
      <c r="AA160" s="630" t="s">
        <v>667</v>
      </c>
    </row>
    <row r="161" spans="24:27">
      <c r="X161" s="629">
        <v>285010</v>
      </c>
      <c r="Y161" s="629">
        <v>7</v>
      </c>
      <c r="Z161" s="630" t="s">
        <v>601</v>
      </c>
      <c r="AA161" s="630" t="s">
        <v>668</v>
      </c>
    </row>
    <row r="162" spans="24:27">
      <c r="X162" s="629">
        <v>285015</v>
      </c>
      <c r="Y162" s="629">
        <v>7</v>
      </c>
      <c r="Z162" s="630" t="s">
        <v>601</v>
      </c>
      <c r="AA162" s="630" t="s">
        <v>294</v>
      </c>
    </row>
    <row r="163" spans="24:27">
      <c r="X163" s="629">
        <v>286010</v>
      </c>
      <c r="Y163" s="629">
        <v>7</v>
      </c>
      <c r="Z163" s="630" t="s">
        <v>601</v>
      </c>
      <c r="AA163" s="630" t="s">
        <v>288</v>
      </c>
    </row>
    <row r="164" spans="24:27">
      <c r="X164" s="629">
        <v>287010</v>
      </c>
      <c r="Y164" s="629">
        <v>7</v>
      </c>
      <c r="Z164" s="630" t="s">
        <v>601</v>
      </c>
      <c r="AA164" s="630" t="s">
        <v>669</v>
      </c>
    </row>
    <row r="165" spans="24:27">
      <c r="X165" s="629">
        <v>291110</v>
      </c>
      <c r="Y165" s="629">
        <v>7</v>
      </c>
      <c r="Z165" s="630" t="s">
        <v>601</v>
      </c>
      <c r="AA165" s="630" t="s">
        <v>670</v>
      </c>
    </row>
    <row r="166" spans="24:27">
      <c r="X166" s="629">
        <v>291210</v>
      </c>
      <c r="Y166" s="629">
        <v>7</v>
      </c>
      <c r="Z166" s="630" t="s">
        <v>601</v>
      </c>
      <c r="AA166" s="630" t="s">
        <v>671</v>
      </c>
    </row>
    <row r="167" spans="24:27">
      <c r="X167" s="629">
        <v>291310</v>
      </c>
      <c r="Y167" s="629">
        <v>7</v>
      </c>
      <c r="Z167" s="630" t="s">
        <v>601</v>
      </c>
      <c r="AA167" s="630" t="s">
        <v>672</v>
      </c>
    </row>
    <row r="168" spans="24:27">
      <c r="X168" s="629">
        <v>291910</v>
      </c>
      <c r="Y168" s="629">
        <v>7</v>
      </c>
      <c r="Z168" s="630" t="s">
        <v>601</v>
      </c>
      <c r="AA168" s="630" t="s">
        <v>673</v>
      </c>
    </row>
    <row r="169" spans="24:27">
      <c r="X169" s="629">
        <v>292010</v>
      </c>
      <c r="Y169" s="629">
        <v>7</v>
      </c>
      <c r="Z169" s="630" t="s">
        <v>601</v>
      </c>
      <c r="AA169" s="630" t="s">
        <v>674</v>
      </c>
    </row>
    <row r="170" spans="24:27">
      <c r="X170" s="629">
        <v>293052</v>
      </c>
      <c r="Y170" s="629">
        <v>7</v>
      </c>
      <c r="Z170" s="630" t="s">
        <v>601</v>
      </c>
      <c r="AA170" s="630" t="s">
        <v>675</v>
      </c>
    </row>
    <row r="171" spans="24:27">
      <c r="X171" s="629">
        <v>293054</v>
      </c>
      <c r="Y171" s="629">
        <v>7</v>
      </c>
      <c r="Z171" s="630" t="s">
        <v>601</v>
      </c>
      <c r="AA171" s="630" t="s">
        <v>676</v>
      </c>
    </row>
    <row r="172" spans="24:27">
      <c r="X172" s="629">
        <v>293055</v>
      </c>
      <c r="Y172" s="629">
        <v>7</v>
      </c>
      <c r="Z172" s="630" t="s">
        <v>601</v>
      </c>
      <c r="AA172" s="630" t="s">
        <v>677</v>
      </c>
    </row>
    <row r="173" spans="24:27">
      <c r="X173" s="629">
        <v>294110</v>
      </c>
      <c r="Y173" s="629">
        <v>7</v>
      </c>
      <c r="Z173" s="630" t="s">
        <v>601</v>
      </c>
      <c r="AA173" s="630" t="s">
        <v>678</v>
      </c>
    </row>
    <row r="174" spans="24:27">
      <c r="X174" s="629">
        <v>294210</v>
      </c>
      <c r="Y174" s="629">
        <v>7</v>
      </c>
      <c r="Z174" s="630" t="s">
        <v>601</v>
      </c>
      <c r="AA174" s="630" t="s">
        <v>679</v>
      </c>
    </row>
    <row r="175" spans="24:27">
      <c r="X175" s="629">
        <v>295010</v>
      </c>
      <c r="Y175" s="629">
        <v>7</v>
      </c>
      <c r="Z175" s="630" t="s">
        <v>601</v>
      </c>
      <c r="AA175" s="630" t="s">
        <v>680</v>
      </c>
    </row>
    <row r="176" spans="24:27">
      <c r="X176" s="629">
        <v>687010</v>
      </c>
      <c r="Y176" s="629">
        <v>7</v>
      </c>
      <c r="Z176" s="630" t="s">
        <v>681</v>
      </c>
      <c r="AA176" s="630" t="s">
        <v>682</v>
      </c>
    </row>
    <row r="177" spans="24:27">
      <c r="X177" s="631">
        <v>219924</v>
      </c>
      <c r="Y177" s="631">
        <v>8</v>
      </c>
      <c r="Z177" s="632" t="s">
        <v>683</v>
      </c>
      <c r="AA177" s="632" t="s">
        <v>684</v>
      </c>
    </row>
    <row r="178" spans="24:27">
      <c r="X178" s="631">
        <v>219925</v>
      </c>
      <c r="Y178" s="631">
        <v>8</v>
      </c>
      <c r="Z178" s="632" t="s">
        <v>683</v>
      </c>
      <c r="AA178" s="632" t="s">
        <v>685</v>
      </c>
    </row>
    <row r="179" spans="24:27">
      <c r="X179" s="633">
        <v>271110</v>
      </c>
      <c r="Y179" s="634">
        <v>9</v>
      </c>
      <c r="Z179" s="635" t="s">
        <v>120</v>
      </c>
      <c r="AA179" s="636" t="s">
        <v>686</v>
      </c>
    </row>
    <row r="180" spans="24:27">
      <c r="X180" s="633">
        <v>271221</v>
      </c>
      <c r="Y180" s="634">
        <v>9</v>
      </c>
      <c r="Z180" s="635" t="s">
        <v>120</v>
      </c>
      <c r="AA180" s="636" t="s">
        <v>687</v>
      </c>
    </row>
    <row r="181" spans="24:27">
      <c r="X181" s="633">
        <v>271331</v>
      </c>
      <c r="Y181" s="634">
        <v>9</v>
      </c>
      <c r="Z181" s="635" t="s">
        <v>120</v>
      </c>
      <c r="AA181" s="636" t="s">
        <v>688</v>
      </c>
    </row>
    <row r="182" spans="24:27">
      <c r="X182" s="633">
        <v>271410</v>
      </c>
      <c r="Y182" s="634">
        <v>9</v>
      </c>
      <c r="Z182" s="635" t="s">
        <v>120</v>
      </c>
      <c r="AA182" s="636" t="s">
        <v>120</v>
      </c>
    </row>
    <row r="183" spans="24:27">
      <c r="X183" s="633">
        <v>271420</v>
      </c>
      <c r="Y183" s="634">
        <v>9</v>
      </c>
      <c r="Z183" s="635" t="s">
        <v>120</v>
      </c>
      <c r="AA183" s="636" t="s">
        <v>689</v>
      </c>
    </row>
    <row r="184" spans="24:27">
      <c r="X184" s="633">
        <v>271522</v>
      </c>
      <c r="Y184" s="634">
        <v>9</v>
      </c>
      <c r="Z184" s="635" t="s">
        <v>120</v>
      </c>
      <c r="AA184" s="636" t="s">
        <v>690</v>
      </c>
    </row>
    <row r="185" spans="24:27">
      <c r="X185" s="633">
        <v>271632</v>
      </c>
      <c r="Y185" s="634">
        <v>9</v>
      </c>
      <c r="Z185" s="635" t="s">
        <v>120</v>
      </c>
      <c r="AA185" s="636" t="s">
        <v>691</v>
      </c>
    </row>
    <row r="186" spans="24:27">
      <c r="X186" s="633">
        <v>271704</v>
      </c>
      <c r="Y186" s="634">
        <v>9</v>
      </c>
      <c r="Z186" s="635" t="s">
        <v>120</v>
      </c>
      <c r="AA186" s="636" t="s">
        <v>692</v>
      </c>
    </row>
    <row r="187" spans="24:27">
      <c r="X187" s="633">
        <v>271713</v>
      </c>
      <c r="Y187" s="634">
        <v>9</v>
      </c>
      <c r="Z187" s="635" t="s">
        <v>120</v>
      </c>
      <c r="AA187" s="636" t="s">
        <v>693</v>
      </c>
    </row>
    <row r="188" spans="24:27">
      <c r="X188" s="633">
        <v>271791</v>
      </c>
      <c r="Y188" s="634">
        <v>9</v>
      </c>
      <c r="Z188" s="635" t="s">
        <v>120</v>
      </c>
      <c r="AA188" s="636" t="s">
        <v>694</v>
      </c>
    </row>
    <row r="189" spans="24:27">
      <c r="X189" s="633">
        <v>271792</v>
      </c>
      <c r="Y189" s="634">
        <v>9</v>
      </c>
      <c r="Z189" s="635" t="s">
        <v>120</v>
      </c>
      <c r="AA189" s="636" t="s">
        <v>695</v>
      </c>
    </row>
    <row r="190" spans="24:27">
      <c r="X190" s="633">
        <v>271793</v>
      </c>
      <c r="Y190" s="634">
        <v>9</v>
      </c>
      <c r="Z190" s="635" t="s">
        <v>120</v>
      </c>
      <c r="AA190" s="636" t="s">
        <v>696</v>
      </c>
    </row>
    <row r="191" spans="24:27">
      <c r="X191" s="633">
        <v>271823</v>
      </c>
      <c r="Y191" s="634">
        <v>9</v>
      </c>
      <c r="Z191" s="635" t="s">
        <v>120</v>
      </c>
      <c r="AA191" s="636" t="s">
        <v>697</v>
      </c>
    </row>
    <row r="192" spans="24:27">
      <c r="X192" s="633">
        <v>271933</v>
      </c>
      <c r="Y192" s="634">
        <v>9</v>
      </c>
      <c r="Z192" s="635" t="s">
        <v>120</v>
      </c>
      <c r="AA192" s="636" t="s">
        <v>698</v>
      </c>
    </row>
    <row r="193" spans="24:27">
      <c r="X193" s="633">
        <v>272101</v>
      </c>
      <c r="Y193" s="634">
        <v>9</v>
      </c>
      <c r="Z193" s="635" t="s">
        <v>120</v>
      </c>
      <c r="AA193" s="636" t="s">
        <v>699</v>
      </c>
    </row>
    <row r="194" spans="24:27">
      <c r="X194" s="633">
        <v>272102</v>
      </c>
      <c r="Y194" s="634">
        <v>9</v>
      </c>
      <c r="Z194" s="635" t="s">
        <v>120</v>
      </c>
      <c r="AA194" s="636" t="s">
        <v>700</v>
      </c>
    </row>
    <row r="195" spans="24:27">
      <c r="X195" s="633">
        <v>272103</v>
      </c>
      <c r="Y195" s="634">
        <v>9</v>
      </c>
      <c r="Z195" s="635" t="s">
        <v>120</v>
      </c>
      <c r="AA195" s="636" t="s">
        <v>701</v>
      </c>
    </row>
    <row r="196" spans="24:27">
      <c r="X196" s="633">
        <v>272114</v>
      </c>
      <c r="Y196" s="634">
        <v>9</v>
      </c>
      <c r="Z196" s="635" t="s">
        <v>120</v>
      </c>
      <c r="AA196" s="636" t="s">
        <v>702</v>
      </c>
    </row>
    <row r="197" spans="24:27">
      <c r="X197" s="633">
        <v>272224</v>
      </c>
      <c r="Y197" s="634">
        <v>9</v>
      </c>
      <c r="Z197" s="635" t="s">
        <v>120</v>
      </c>
      <c r="AA197" s="636" t="s">
        <v>703</v>
      </c>
    </row>
    <row r="198" spans="24:27">
      <c r="X198" s="633">
        <v>272334</v>
      </c>
      <c r="Y198" s="634">
        <v>9</v>
      </c>
      <c r="Z198" s="635" t="s">
        <v>120</v>
      </c>
      <c r="AA198" s="636" t="s">
        <v>704</v>
      </c>
    </row>
    <row r="199" spans="24:27">
      <c r="X199" s="633">
        <v>272415</v>
      </c>
      <c r="Y199" s="634">
        <v>9</v>
      </c>
      <c r="Z199" s="635" t="s">
        <v>120</v>
      </c>
      <c r="AA199" s="636" t="s">
        <v>705</v>
      </c>
    </row>
    <row r="200" spans="24:27">
      <c r="X200" s="633">
        <v>272525</v>
      </c>
      <c r="Y200" s="634">
        <v>9</v>
      </c>
      <c r="Z200" s="635" t="s">
        <v>120</v>
      </c>
      <c r="AA200" s="636" t="s">
        <v>706</v>
      </c>
    </row>
    <row r="201" spans="24:27">
      <c r="X201" s="633">
        <v>272635</v>
      </c>
      <c r="Y201" s="634">
        <v>9</v>
      </c>
      <c r="Z201" s="635" t="s">
        <v>120</v>
      </c>
      <c r="AA201" s="636" t="s">
        <v>707</v>
      </c>
    </row>
    <row r="202" spans="24:27">
      <c r="X202" s="633">
        <v>272716</v>
      </c>
      <c r="Y202" s="634">
        <v>9</v>
      </c>
      <c r="Z202" s="635" t="s">
        <v>120</v>
      </c>
      <c r="AA202" s="636" t="s">
        <v>708</v>
      </c>
    </row>
    <row r="203" spans="24:27">
      <c r="X203" s="633">
        <v>272826</v>
      </c>
      <c r="Y203" s="634">
        <v>9</v>
      </c>
      <c r="Z203" s="635" t="s">
        <v>120</v>
      </c>
      <c r="AA203" s="636" t="s">
        <v>709</v>
      </c>
    </row>
    <row r="204" spans="24:27">
      <c r="X204" s="633">
        <v>272936</v>
      </c>
      <c r="Y204" s="634">
        <v>9</v>
      </c>
      <c r="Z204" s="635" t="s">
        <v>120</v>
      </c>
      <c r="AA204" s="636" t="s">
        <v>710</v>
      </c>
    </row>
    <row r="205" spans="24:27">
      <c r="X205" s="633">
        <v>273141</v>
      </c>
      <c r="Y205" s="634">
        <v>9</v>
      </c>
      <c r="Z205" s="635" t="s">
        <v>120</v>
      </c>
      <c r="AA205" s="636" t="s">
        <v>711</v>
      </c>
    </row>
    <row r="206" spans="24:27">
      <c r="X206" s="633">
        <v>273242</v>
      </c>
      <c r="Y206" s="634">
        <v>9</v>
      </c>
      <c r="Z206" s="635" t="s">
        <v>120</v>
      </c>
      <c r="AA206" s="636" t="s">
        <v>712</v>
      </c>
    </row>
    <row r="207" spans="24:27">
      <c r="X207" s="633">
        <v>273243</v>
      </c>
      <c r="Y207" s="634">
        <v>9</v>
      </c>
      <c r="Z207" s="635" t="s">
        <v>120</v>
      </c>
      <c r="AA207" s="636" t="s">
        <v>713</v>
      </c>
    </row>
    <row r="208" spans="24:27">
      <c r="X208" s="633">
        <v>273244</v>
      </c>
      <c r="Y208" s="634">
        <v>9</v>
      </c>
      <c r="Z208" s="635" t="s">
        <v>120</v>
      </c>
      <c r="AA208" s="636" t="s">
        <v>714</v>
      </c>
    </row>
    <row r="209" spans="24:27">
      <c r="X209" s="637" t="s">
        <v>213</v>
      </c>
      <c r="Y209" s="637">
        <v>10</v>
      </c>
      <c r="Z209" s="638" t="s">
        <v>715</v>
      </c>
      <c r="AA209" s="638" t="s">
        <v>282</v>
      </c>
    </row>
    <row r="210" spans="24:27">
      <c r="X210" s="637">
        <v>311010</v>
      </c>
      <c r="Y210" s="637">
        <v>10</v>
      </c>
      <c r="Z210" s="638" t="s">
        <v>715</v>
      </c>
      <c r="AA210" s="638" t="s">
        <v>716</v>
      </c>
    </row>
    <row r="211" spans="24:27">
      <c r="X211" s="637">
        <v>312010</v>
      </c>
      <c r="Y211" s="637">
        <v>10</v>
      </c>
      <c r="Z211" s="638" t="s">
        <v>715</v>
      </c>
      <c r="AA211" s="638" t="s">
        <v>717</v>
      </c>
    </row>
    <row r="212" spans="24:27">
      <c r="X212" s="637">
        <v>313010</v>
      </c>
      <c r="Y212" s="637">
        <v>10</v>
      </c>
      <c r="Z212" s="638" t="s">
        <v>715</v>
      </c>
      <c r="AA212" s="638" t="s">
        <v>718</v>
      </c>
    </row>
    <row r="213" spans="24:27">
      <c r="X213" s="637">
        <v>314010</v>
      </c>
      <c r="Y213" s="637">
        <v>10</v>
      </c>
      <c r="Z213" s="638" t="s">
        <v>715</v>
      </c>
      <c r="AA213" s="638" t="s">
        <v>719</v>
      </c>
    </row>
    <row r="214" spans="24:27">
      <c r="X214" s="637">
        <v>315010</v>
      </c>
      <c r="Y214" s="637">
        <v>10</v>
      </c>
      <c r="Z214" s="638" t="s">
        <v>715</v>
      </c>
      <c r="AA214" s="638" t="s">
        <v>720</v>
      </c>
    </row>
    <row r="215" spans="24:27">
      <c r="X215" s="637">
        <v>319010</v>
      </c>
      <c r="Y215" s="637">
        <v>10</v>
      </c>
      <c r="Z215" s="638" t="s">
        <v>715</v>
      </c>
      <c r="AA215" s="638" t="s">
        <v>721</v>
      </c>
    </row>
    <row r="216" spans="24:27">
      <c r="X216" s="637">
        <v>319020</v>
      </c>
      <c r="Y216" s="637">
        <v>10</v>
      </c>
      <c r="Z216" s="638" t="s">
        <v>715</v>
      </c>
      <c r="AA216" s="638" t="s">
        <v>722</v>
      </c>
    </row>
    <row r="217" spans="24:27">
      <c r="X217" s="637">
        <v>319030</v>
      </c>
      <c r="Y217" s="637">
        <v>10</v>
      </c>
      <c r="Z217" s="638" t="s">
        <v>715</v>
      </c>
      <c r="AA217" s="638" t="s">
        <v>723</v>
      </c>
    </row>
    <row r="218" spans="24:27">
      <c r="X218" s="637">
        <v>321010</v>
      </c>
      <c r="Y218" s="637">
        <v>10</v>
      </c>
      <c r="Z218" s="638" t="s">
        <v>715</v>
      </c>
      <c r="AA218" s="638" t="s">
        <v>724</v>
      </c>
    </row>
    <row r="219" spans="24:27">
      <c r="X219" s="637">
        <v>321020</v>
      </c>
      <c r="Y219" s="637">
        <v>10</v>
      </c>
      <c r="Z219" s="638" t="s">
        <v>715</v>
      </c>
      <c r="AA219" s="638" t="s">
        <v>725</v>
      </c>
    </row>
    <row r="220" spans="24:27">
      <c r="X220" s="637">
        <v>322010</v>
      </c>
      <c r="Y220" s="637">
        <v>10</v>
      </c>
      <c r="Z220" s="638" t="s">
        <v>715</v>
      </c>
      <c r="AA220" s="638" t="s">
        <v>726</v>
      </c>
    </row>
    <row r="221" spans="24:27">
      <c r="X221" s="637">
        <v>323010</v>
      </c>
      <c r="Y221" s="637">
        <v>10</v>
      </c>
      <c r="Z221" s="638" t="s">
        <v>715</v>
      </c>
      <c r="AA221" s="638" t="s">
        <v>727</v>
      </c>
    </row>
    <row r="222" spans="24:27">
      <c r="X222" s="637">
        <v>324010</v>
      </c>
      <c r="Y222" s="637">
        <v>10</v>
      </c>
      <c r="Z222" s="638" t="s">
        <v>715</v>
      </c>
      <c r="AA222" s="638" t="s">
        <v>728</v>
      </c>
    </row>
    <row r="223" spans="24:27">
      <c r="X223" s="637">
        <v>324020</v>
      </c>
      <c r="Y223" s="637">
        <v>10</v>
      </c>
      <c r="Z223" s="638" t="s">
        <v>715</v>
      </c>
      <c r="AA223" s="638" t="s">
        <v>729</v>
      </c>
    </row>
    <row r="224" spans="24:27">
      <c r="X224" s="637">
        <v>325010</v>
      </c>
      <c r="Y224" s="637">
        <v>10</v>
      </c>
      <c r="Z224" s="638" t="s">
        <v>715</v>
      </c>
      <c r="AA224" s="638" t="s">
        <v>730</v>
      </c>
    </row>
    <row r="225" spans="24:27">
      <c r="X225" s="637">
        <v>326010</v>
      </c>
      <c r="Y225" s="637">
        <v>10</v>
      </c>
      <c r="Z225" s="638" t="s">
        <v>715</v>
      </c>
      <c r="AA225" s="638" t="s">
        <v>731</v>
      </c>
    </row>
    <row r="226" spans="24:27">
      <c r="X226" s="637">
        <v>326110</v>
      </c>
      <c r="Y226" s="637">
        <v>10</v>
      </c>
      <c r="Z226" s="638" t="s">
        <v>715</v>
      </c>
      <c r="AA226" s="638" t="s">
        <v>732</v>
      </c>
    </row>
    <row r="227" spans="24:27">
      <c r="X227" s="637">
        <v>327010</v>
      </c>
      <c r="Y227" s="637">
        <v>10</v>
      </c>
      <c r="Z227" s="638" t="s">
        <v>715</v>
      </c>
      <c r="AA227" s="638" t="s">
        <v>733</v>
      </c>
    </row>
    <row r="228" spans="24:27">
      <c r="X228" s="637">
        <v>328010</v>
      </c>
      <c r="Y228" s="637">
        <v>10</v>
      </c>
      <c r="Z228" s="638" t="s">
        <v>715</v>
      </c>
      <c r="AA228" s="638" t="s">
        <v>734</v>
      </c>
    </row>
    <row r="229" spans="24:27">
      <c r="X229" s="637">
        <v>329015</v>
      </c>
      <c r="Y229" s="637">
        <v>10</v>
      </c>
      <c r="Z229" s="638" t="s">
        <v>715</v>
      </c>
      <c r="AA229" s="638" t="s">
        <v>735</v>
      </c>
    </row>
    <row r="230" spans="24:27">
      <c r="X230" s="637">
        <v>329016</v>
      </c>
      <c r="Y230" s="637">
        <v>10</v>
      </c>
      <c r="Z230" s="638" t="s">
        <v>715</v>
      </c>
      <c r="AA230" s="638" t="s">
        <v>736</v>
      </c>
    </row>
    <row r="231" spans="24:27">
      <c r="X231" s="637">
        <v>331010</v>
      </c>
      <c r="Y231" s="637">
        <v>10</v>
      </c>
      <c r="Z231" s="638" t="s">
        <v>715</v>
      </c>
      <c r="AA231" s="638" t="s">
        <v>737</v>
      </c>
    </row>
    <row r="232" spans="24:27">
      <c r="X232" s="637">
        <v>332010</v>
      </c>
      <c r="Y232" s="637">
        <v>10</v>
      </c>
      <c r="Z232" s="638" t="s">
        <v>715</v>
      </c>
      <c r="AA232" s="638" t="s">
        <v>738</v>
      </c>
    </row>
    <row r="233" spans="24:27">
      <c r="X233" s="637">
        <v>332020</v>
      </c>
      <c r="Y233" s="637">
        <v>10</v>
      </c>
      <c r="Z233" s="638" t="s">
        <v>715</v>
      </c>
      <c r="AA233" s="638" t="s">
        <v>739</v>
      </c>
    </row>
    <row r="234" spans="24:27">
      <c r="X234" s="637">
        <v>333010</v>
      </c>
      <c r="Y234" s="637">
        <v>10</v>
      </c>
      <c r="Z234" s="638" t="s">
        <v>715</v>
      </c>
      <c r="AA234" s="638" t="s">
        <v>740</v>
      </c>
    </row>
    <row r="235" spans="24:27">
      <c r="X235" s="637">
        <v>334010</v>
      </c>
      <c r="Y235" s="637">
        <v>10</v>
      </c>
      <c r="Z235" s="638" t="s">
        <v>715</v>
      </c>
      <c r="AA235" s="638" t="s">
        <v>741</v>
      </c>
    </row>
    <row r="236" spans="24:27">
      <c r="X236" s="637">
        <v>335010</v>
      </c>
      <c r="Y236" s="637">
        <v>10</v>
      </c>
      <c r="Z236" s="638" t="s">
        <v>715</v>
      </c>
      <c r="AA236" s="638" t="s">
        <v>742</v>
      </c>
    </row>
    <row r="237" spans="24:27">
      <c r="X237" s="637">
        <v>335020</v>
      </c>
      <c r="Y237" s="637">
        <v>10</v>
      </c>
      <c r="Z237" s="638" t="s">
        <v>715</v>
      </c>
      <c r="AA237" s="638" t="s">
        <v>743</v>
      </c>
    </row>
    <row r="238" spans="24:27">
      <c r="X238" s="637">
        <v>336010</v>
      </c>
      <c r="Y238" s="637">
        <v>10</v>
      </c>
      <c r="Z238" s="638" t="s">
        <v>715</v>
      </c>
      <c r="AA238" s="638" t="s">
        <v>744</v>
      </c>
    </row>
    <row r="239" spans="24:27">
      <c r="X239" s="637">
        <v>341010</v>
      </c>
      <c r="Y239" s="637">
        <v>10</v>
      </c>
      <c r="Z239" s="638" t="s">
        <v>715</v>
      </c>
      <c r="AA239" s="638" t="s">
        <v>745</v>
      </c>
    </row>
    <row r="240" spans="24:27">
      <c r="X240" s="637">
        <v>341020</v>
      </c>
      <c r="Y240" s="637">
        <v>10</v>
      </c>
      <c r="Z240" s="638" t="s">
        <v>715</v>
      </c>
      <c r="AA240" s="638" t="s">
        <v>746</v>
      </c>
    </row>
    <row r="241" spans="24:27">
      <c r="X241" s="637">
        <v>342010</v>
      </c>
      <c r="Y241" s="637">
        <v>10</v>
      </c>
      <c r="Z241" s="638" t="s">
        <v>715</v>
      </c>
      <c r="AA241" s="638" t="s">
        <v>747</v>
      </c>
    </row>
    <row r="242" spans="24:27">
      <c r="X242" s="637">
        <v>351010</v>
      </c>
      <c r="Y242" s="637">
        <v>10</v>
      </c>
      <c r="Z242" s="638" t="s">
        <v>715</v>
      </c>
      <c r="AA242" s="638" t="s">
        <v>748</v>
      </c>
    </row>
    <row r="243" spans="24:27">
      <c r="X243" s="637">
        <v>352010</v>
      </c>
      <c r="Y243" s="637">
        <v>10</v>
      </c>
      <c r="Z243" s="638" t="s">
        <v>715</v>
      </c>
      <c r="AA243" s="638" t="s">
        <v>749</v>
      </c>
    </row>
    <row r="244" spans="24:27">
      <c r="X244" s="637">
        <v>353010</v>
      </c>
      <c r="Y244" s="637">
        <v>10</v>
      </c>
      <c r="Z244" s="638" t="s">
        <v>715</v>
      </c>
      <c r="AA244" s="638" t="s">
        <v>750</v>
      </c>
    </row>
    <row r="245" spans="24:27">
      <c r="X245" s="637">
        <v>361010</v>
      </c>
      <c r="Y245" s="637">
        <v>10</v>
      </c>
      <c r="Z245" s="638" t="s">
        <v>715</v>
      </c>
      <c r="AA245" s="638" t="s">
        <v>751</v>
      </c>
    </row>
    <row r="246" spans="24:27">
      <c r="X246" s="637">
        <v>363010</v>
      </c>
      <c r="Y246" s="637">
        <v>10</v>
      </c>
      <c r="Z246" s="638" t="s">
        <v>715</v>
      </c>
      <c r="AA246" s="638" t="s">
        <v>752</v>
      </c>
    </row>
    <row r="247" spans="24:27">
      <c r="X247" s="637">
        <v>364010</v>
      </c>
      <c r="Y247" s="637">
        <v>10</v>
      </c>
      <c r="Z247" s="638" t="s">
        <v>715</v>
      </c>
      <c r="AA247" s="638" t="s">
        <v>753</v>
      </c>
    </row>
    <row r="248" spans="24:27">
      <c r="X248" s="637">
        <v>365010</v>
      </c>
      <c r="Y248" s="637">
        <v>10</v>
      </c>
      <c r="Z248" s="638" t="s">
        <v>715</v>
      </c>
      <c r="AA248" s="638" t="s">
        <v>754</v>
      </c>
    </row>
    <row r="249" spans="24:27">
      <c r="X249" s="637">
        <v>369010</v>
      </c>
      <c r="Y249" s="637">
        <v>10</v>
      </c>
      <c r="Z249" s="638" t="s">
        <v>715</v>
      </c>
      <c r="AA249" s="638" t="s">
        <v>755</v>
      </c>
    </row>
    <row r="250" spans="24:27">
      <c r="X250" s="637">
        <v>369020</v>
      </c>
      <c r="Y250" s="637">
        <v>10</v>
      </c>
      <c r="Z250" s="638" t="s">
        <v>715</v>
      </c>
      <c r="AA250" s="638" t="s">
        <v>756</v>
      </c>
    </row>
    <row r="251" spans="24:27">
      <c r="X251" s="637">
        <v>369030</v>
      </c>
      <c r="Y251" s="637">
        <v>10</v>
      </c>
      <c r="Z251" s="638" t="s">
        <v>715</v>
      </c>
      <c r="AA251" s="638" t="s">
        <v>757</v>
      </c>
    </row>
    <row r="252" spans="24:27">
      <c r="X252" s="637">
        <v>371010</v>
      </c>
      <c r="Y252" s="637">
        <v>10</v>
      </c>
      <c r="Z252" s="638" t="s">
        <v>715</v>
      </c>
      <c r="AA252" s="638" t="s">
        <v>758</v>
      </c>
    </row>
    <row r="253" spans="24:27">
      <c r="X253" s="637">
        <v>372010</v>
      </c>
      <c r="Y253" s="637">
        <v>10</v>
      </c>
      <c r="Z253" s="638" t="s">
        <v>715</v>
      </c>
      <c r="AA253" s="638" t="s">
        <v>759</v>
      </c>
    </row>
    <row r="254" spans="24:27">
      <c r="X254" s="637">
        <v>380010</v>
      </c>
      <c r="Y254" s="637">
        <v>10</v>
      </c>
      <c r="Z254" s="638" t="s">
        <v>715</v>
      </c>
      <c r="AA254" s="638" t="s">
        <v>760</v>
      </c>
    </row>
    <row r="255" spans="24:27">
      <c r="X255" s="637">
        <v>380020</v>
      </c>
      <c r="Y255" s="637">
        <v>10</v>
      </c>
      <c r="Z255" s="638" t="s">
        <v>715</v>
      </c>
      <c r="AA255" s="638" t="s">
        <v>761</v>
      </c>
    </row>
    <row r="256" spans="24:27">
      <c r="X256" s="637">
        <v>380030</v>
      </c>
      <c r="Y256" s="637">
        <v>10</v>
      </c>
      <c r="Z256" s="638" t="s">
        <v>715</v>
      </c>
      <c r="AA256" s="638" t="s">
        <v>762</v>
      </c>
    </row>
    <row r="257" spans="24:27">
      <c r="X257" s="637">
        <v>390010</v>
      </c>
      <c r="Y257" s="637">
        <v>10</v>
      </c>
      <c r="Z257" s="638" t="s">
        <v>715</v>
      </c>
      <c r="AA257" s="638" t="s">
        <v>763</v>
      </c>
    </row>
    <row r="258" spans="24:27">
      <c r="X258" s="637">
        <v>390015</v>
      </c>
      <c r="Y258" s="637">
        <v>10</v>
      </c>
      <c r="Z258" s="638" t="s">
        <v>715</v>
      </c>
      <c r="AA258" s="638" t="s">
        <v>764</v>
      </c>
    </row>
    <row r="259" spans="24:27">
      <c r="X259" s="639" t="s">
        <v>192</v>
      </c>
      <c r="Y259" s="639">
        <v>11</v>
      </c>
      <c r="Z259" s="640" t="s">
        <v>765</v>
      </c>
      <c r="AA259" s="640" t="s">
        <v>766</v>
      </c>
    </row>
    <row r="260" spans="24:27">
      <c r="X260" s="639">
        <v>411015</v>
      </c>
      <c r="Y260" s="639">
        <v>11</v>
      </c>
      <c r="Z260" s="640" t="s">
        <v>765</v>
      </c>
      <c r="AA260" s="640" t="s">
        <v>767</v>
      </c>
    </row>
    <row r="261" spans="24:27">
      <c r="X261" s="639">
        <v>412115</v>
      </c>
      <c r="Y261" s="639">
        <v>11</v>
      </c>
      <c r="Z261" s="640" t="s">
        <v>765</v>
      </c>
      <c r="AA261" s="640" t="s">
        <v>768</v>
      </c>
    </row>
    <row r="262" spans="24:27">
      <c r="X262" s="639">
        <v>413015</v>
      </c>
      <c r="Y262" s="639">
        <v>11</v>
      </c>
      <c r="Z262" s="640" t="s">
        <v>765</v>
      </c>
      <c r="AA262" s="640" t="s">
        <v>769</v>
      </c>
    </row>
    <row r="263" spans="24:27">
      <c r="X263" s="639">
        <v>421010</v>
      </c>
      <c r="Y263" s="639">
        <v>11</v>
      </c>
      <c r="Z263" s="640" t="s">
        <v>765</v>
      </c>
      <c r="AA263" s="640" t="s">
        <v>770</v>
      </c>
    </row>
    <row r="264" spans="24:27">
      <c r="X264" s="639">
        <v>422010</v>
      </c>
      <c r="Y264" s="639">
        <v>11</v>
      </c>
      <c r="Z264" s="640" t="s">
        <v>765</v>
      </c>
      <c r="AA264" s="640" t="s">
        <v>771</v>
      </c>
    </row>
    <row r="265" spans="24:27">
      <c r="X265" s="639">
        <v>423010</v>
      </c>
      <c r="Y265" s="639">
        <v>11</v>
      </c>
      <c r="Z265" s="640" t="s">
        <v>765</v>
      </c>
      <c r="AA265" s="640" t="s">
        <v>772</v>
      </c>
    </row>
    <row r="266" spans="24:27">
      <c r="X266" s="639">
        <v>431010</v>
      </c>
      <c r="Y266" s="639">
        <v>11</v>
      </c>
      <c r="Z266" s="640" t="s">
        <v>765</v>
      </c>
      <c r="AA266" s="640" t="s">
        <v>773</v>
      </c>
    </row>
    <row r="267" spans="24:27">
      <c r="X267" s="639">
        <v>432010</v>
      </c>
      <c r="Y267" s="639">
        <v>11</v>
      </c>
      <c r="Z267" s="640" t="s">
        <v>765</v>
      </c>
      <c r="AA267" s="640" t="s">
        <v>774</v>
      </c>
    </row>
    <row r="268" spans="24:27">
      <c r="X268" s="639">
        <v>432015</v>
      </c>
      <c r="Y268" s="639">
        <v>11</v>
      </c>
      <c r="Z268" s="640" t="s">
        <v>765</v>
      </c>
      <c r="AA268" s="640" t="s">
        <v>775</v>
      </c>
    </row>
    <row r="269" spans="24:27">
      <c r="X269" s="639">
        <v>432020</v>
      </c>
      <c r="Y269" s="639">
        <v>11</v>
      </c>
      <c r="Z269" s="640" t="s">
        <v>765</v>
      </c>
      <c r="AA269" s="640" t="s">
        <v>776</v>
      </c>
    </row>
    <row r="270" spans="24:27">
      <c r="X270" s="639">
        <v>432025</v>
      </c>
      <c r="Y270" s="639">
        <v>11</v>
      </c>
      <c r="Z270" s="640" t="s">
        <v>765</v>
      </c>
      <c r="AA270" s="640" t="s">
        <v>777</v>
      </c>
    </row>
    <row r="271" spans="24:27">
      <c r="X271" s="639">
        <v>432030</v>
      </c>
      <c r="Y271" s="639">
        <v>11</v>
      </c>
      <c r="Z271" s="640" t="s">
        <v>765</v>
      </c>
      <c r="AA271" s="640" t="s">
        <v>778</v>
      </c>
    </row>
    <row r="272" spans="24:27">
      <c r="X272" s="639">
        <v>432035</v>
      </c>
      <c r="Y272" s="639">
        <v>11</v>
      </c>
      <c r="Z272" s="640" t="s">
        <v>765</v>
      </c>
      <c r="AA272" s="640" t="s">
        <v>779</v>
      </c>
    </row>
    <row r="273" spans="24:27">
      <c r="X273" s="639">
        <v>432110</v>
      </c>
      <c r="Y273" s="639">
        <v>11</v>
      </c>
      <c r="Z273" s="640" t="s">
        <v>765</v>
      </c>
      <c r="AA273" s="640" t="s">
        <v>780</v>
      </c>
    </row>
    <row r="274" spans="24:27">
      <c r="X274" s="639">
        <v>433105</v>
      </c>
      <c r="Y274" s="639">
        <v>11</v>
      </c>
      <c r="Z274" s="640" t="s">
        <v>765</v>
      </c>
      <c r="AA274" s="640" t="s">
        <v>781</v>
      </c>
    </row>
    <row r="275" spans="24:27">
      <c r="X275" s="639">
        <v>433110</v>
      </c>
      <c r="Y275" s="639">
        <v>11</v>
      </c>
      <c r="Z275" s="640" t="s">
        <v>765</v>
      </c>
      <c r="AA275" s="640" t="s">
        <v>782</v>
      </c>
    </row>
    <row r="276" spans="24:27">
      <c r="X276" s="639">
        <v>433115</v>
      </c>
      <c r="Y276" s="639">
        <v>11</v>
      </c>
      <c r="Z276" s="640" t="s">
        <v>765</v>
      </c>
      <c r="AA276" s="640" t="s">
        <v>783</v>
      </c>
    </row>
    <row r="277" spans="24:27">
      <c r="X277" s="639">
        <v>433120</v>
      </c>
      <c r="Y277" s="639">
        <v>11</v>
      </c>
      <c r="Z277" s="640" t="s">
        <v>765</v>
      </c>
      <c r="AA277" s="640" t="s">
        <v>784</v>
      </c>
    </row>
    <row r="278" spans="24:27">
      <c r="X278" s="639">
        <v>433125</v>
      </c>
      <c r="Y278" s="639">
        <v>11</v>
      </c>
      <c r="Z278" s="640" t="s">
        <v>765</v>
      </c>
      <c r="AA278" s="640" t="s">
        <v>785</v>
      </c>
    </row>
    <row r="279" spans="24:27">
      <c r="X279" s="639">
        <v>433210</v>
      </c>
      <c r="Y279" s="639">
        <v>11</v>
      </c>
      <c r="Z279" s="640" t="s">
        <v>765</v>
      </c>
      <c r="AA279" s="640" t="s">
        <v>786</v>
      </c>
    </row>
    <row r="280" spans="24:27">
      <c r="X280" s="639">
        <v>433215</v>
      </c>
      <c r="Y280" s="639">
        <v>11</v>
      </c>
      <c r="Z280" s="640" t="s">
        <v>765</v>
      </c>
      <c r="AA280" s="640" t="s">
        <v>787</v>
      </c>
    </row>
    <row r="281" spans="24:27">
      <c r="X281" s="639">
        <v>433220</v>
      </c>
      <c r="Y281" s="639">
        <v>11</v>
      </c>
      <c r="Z281" s="640" t="s">
        <v>765</v>
      </c>
      <c r="AA281" s="640" t="s">
        <v>788</v>
      </c>
    </row>
    <row r="282" spans="24:27">
      <c r="X282" s="639">
        <v>433225</v>
      </c>
      <c r="Y282" s="639">
        <v>11</v>
      </c>
      <c r="Z282" s="640" t="s">
        <v>765</v>
      </c>
      <c r="AA282" s="640" t="s">
        <v>789</v>
      </c>
    </row>
    <row r="283" spans="24:27">
      <c r="X283" s="639">
        <v>433310</v>
      </c>
      <c r="Y283" s="639">
        <v>11</v>
      </c>
      <c r="Z283" s="640" t="s">
        <v>765</v>
      </c>
      <c r="AA283" s="640" t="s">
        <v>790</v>
      </c>
    </row>
    <row r="284" spans="24:27">
      <c r="X284" s="639">
        <v>433315</v>
      </c>
      <c r="Y284" s="639">
        <v>11</v>
      </c>
      <c r="Z284" s="640" t="s">
        <v>765</v>
      </c>
      <c r="AA284" s="640" t="s">
        <v>791</v>
      </c>
    </row>
    <row r="285" spans="24:27">
      <c r="X285" s="639">
        <v>433320</v>
      </c>
      <c r="Y285" s="639">
        <v>11</v>
      </c>
      <c r="Z285" s="640" t="s">
        <v>765</v>
      </c>
      <c r="AA285" s="640" t="s">
        <v>792</v>
      </c>
    </row>
    <row r="286" spans="24:27">
      <c r="X286" s="639">
        <v>433325</v>
      </c>
      <c r="Y286" s="639">
        <v>11</v>
      </c>
      <c r="Z286" s="640" t="s">
        <v>765</v>
      </c>
      <c r="AA286" s="640" t="s">
        <v>793</v>
      </c>
    </row>
    <row r="287" spans="24:27">
      <c r="X287" s="639">
        <v>433410</v>
      </c>
      <c r="Y287" s="639">
        <v>11</v>
      </c>
      <c r="Z287" s="640" t="s">
        <v>765</v>
      </c>
      <c r="AA287" s="640" t="s">
        <v>794</v>
      </c>
    </row>
    <row r="288" spans="24:27">
      <c r="X288" s="639">
        <v>433510</v>
      </c>
      <c r="Y288" s="639">
        <v>11</v>
      </c>
      <c r="Z288" s="640" t="s">
        <v>765</v>
      </c>
      <c r="AA288" s="640" t="s">
        <v>795</v>
      </c>
    </row>
    <row r="289" spans="24:27">
      <c r="X289" s="639">
        <v>433610</v>
      </c>
      <c r="Y289" s="639">
        <v>11</v>
      </c>
      <c r="Z289" s="640" t="s">
        <v>765</v>
      </c>
      <c r="AA289" s="640" t="s">
        <v>796</v>
      </c>
    </row>
    <row r="290" spans="24:27">
      <c r="X290" s="639">
        <v>433710</v>
      </c>
      <c r="Y290" s="639">
        <v>11</v>
      </c>
      <c r="Z290" s="640" t="s">
        <v>765</v>
      </c>
      <c r="AA290" s="640" t="s">
        <v>797</v>
      </c>
    </row>
    <row r="291" spans="24:27">
      <c r="X291" s="639">
        <v>433810</v>
      </c>
      <c r="Y291" s="639">
        <v>11</v>
      </c>
      <c r="Z291" s="640" t="s">
        <v>765</v>
      </c>
      <c r="AA291" s="640" t="s">
        <v>798</v>
      </c>
    </row>
    <row r="292" spans="24:27">
      <c r="X292" s="639">
        <v>433910</v>
      </c>
      <c r="Y292" s="639">
        <v>11</v>
      </c>
      <c r="Z292" s="640" t="s">
        <v>765</v>
      </c>
      <c r="AA292" s="640" t="s">
        <v>799</v>
      </c>
    </row>
    <row r="293" spans="24:27">
      <c r="X293" s="639">
        <v>434010</v>
      </c>
      <c r="Y293" s="639">
        <v>11</v>
      </c>
      <c r="Z293" s="640" t="s">
        <v>765</v>
      </c>
      <c r="AA293" s="640" t="s">
        <v>800</v>
      </c>
    </row>
    <row r="294" spans="24:27">
      <c r="X294" s="639">
        <v>435110</v>
      </c>
      <c r="Y294" s="639">
        <v>11</v>
      </c>
      <c r="Z294" s="640" t="s">
        <v>765</v>
      </c>
      <c r="AA294" s="640" t="s">
        <v>801</v>
      </c>
    </row>
    <row r="295" spans="24:27">
      <c r="X295" s="639">
        <v>435115</v>
      </c>
      <c r="Y295" s="639">
        <v>11</v>
      </c>
      <c r="Z295" s="640" t="s">
        <v>765</v>
      </c>
      <c r="AA295" s="640" t="s">
        <v>802</v>
      </c>
    </row>
    <row r="296" spans="24:27">
      <c r="X296" s="639">
        <v>435120</v>
      </c>
      <c r="Y296" s="639">
        <v>11</v>
      </c>
      <c r="Z296" s="640" t="s">
        <v>765</v>
      </c>
      <c r="AA296" s="640" t="s">
        <v>803</v>
      </c>
    </row>
    <row r="297" spans="24:27">
      <c r="X297" s="639">
        <v>435125</v>
      </c>
      <c r="Y297" s="639">
        <v>11</v>
      </c>
      <c r="Z297" s="640" t="s">
        <v>765</v>
      </c>
      <c r="AA297" s="640" t="s">
        <v>804</v>
      </c>
    </row>
    <row r="298" spans="24:27">
      <c r="X298" s="639">
        <v>435130</v>
      </c>
      <c r="Y298" s="639">
        <v>11</v>
      </c>
      <c r="Z298" s="640" t="s">
        <v>765</v>
      </c>
      <c r="AA298" s="640" t="s">
        <v>805</v>
      </c>
    </row>
    <row r="299" spans="24:27">
      <c r="X299" s="639">
        <v>435210</v>
      </c>
      <c r="Y299" s="639">
        <v>11</v>
      </c>
      <c r="Z299" s="640" t="s">
        <v>765</v>
      </c>
      <c r="AA299" s="640" t="s">
        <v>806</v>
      </c>
    </row>
    <row r="300" spans="24:27">
      <c r="X300" s="639">
        <v>435310</v>
      </c>
      <c r="Y300" s="639">
        <v>11</v>
      </c>
      <c r="Z300" s="640" t="s">
        <v>765</v>
      </c>
      <c r="AA300" s="640" t="s">
        <v>807</v>
      </c>
    </row>
    <row r="301" spans="24:27">
      <c r="X301" s="639">
        <v>435410</v>
      </c>
      <c r="Y301" s="639">
        <v>11</v>
      </c>
      <c r="Z301" s="640" t="s">
        <v>765</v>
      </c>
      <c r="AA301" s="640" t="s">
        <v>808</v>
      </c>
    </row>
    <row r="302" spans="24:27">
      <c r="X302" s="639">
        <v>435510</v>
      </c>
      <c r="Y302" s="639">
        <v>11</v>
      </c>
      <c r="Z302" s="640" t="s">
        <v>765</v>
      </c>
      <c r="AA302" s="640" t="s">
        <v>809</v>
      </c>
    </row>
    <row r="303" spans="24:27">
      <c r="X303" s="639">
        <v>437110</v>
      </c>
      <c r="Y303" s="639">
        <v>11</v>
      </c>
      <c r="Z303" s="640" t="s">
        <v>765</v>
      </c>
      <c r="AA303" s="640" t="s">
        <v>810</v>
      </c>
    </row>
    <row r="304" spans="24:27">
      <c r="X304" s="639">
        <v>437210</v>
      </c>
      <c r="Y304" s="639">
        <v>11</v>
      </c>
      <c r="Z304" s="640" t="s">
        <v>765</v>
      </c>
      <c r="AA304" s="640" t="s">
        <v>811</v>
      </c>
    </row>
    <row r="305" spans="24:27">
      <c r="X305" s="639">
        <v>437310</v>
      </c>
      <c r="Y305" s="639">
        <v>11</v>
      </c>
      <c r="Z305" s="640" t="s">
        <v>765</v>
      </c>
      <c r="AA305" s="640" t="s">
        <v>812</v>
      </c>
    </row>
    <row r="306" spans="24:27">
      <c r="X306" s="639">
        <v>437410</v>
      </c>
      <c r="Y306" s="639">
        <v>11</v>
      </c>
      <c r="Z306" s="640" t="s">
        <v>765</v>
      </c>
      <c r="AA306" s="640" t="s">
        <v>813</v>
      </c>
    </row>
    <row r="307" spans="24:27">
      <c r="X307" s="639">
        <v>437510</v>
      </c>
      <c r="Y307" s="639">
        <v>11</v>
      </c>
      <c r="Z307" s="640" t="s">
        <v>765</v>
      </c>
      <c r="AA307" s="640" t="s">
        <v>814</v>
      </c>
    </row>
    <row r="308" spans="24:27">
      <c r="X308" s="639">
        <v>437910</v>
      </c>
      <c r="Y308" s="639">
        <v>11</v>
      </c>
      <c r="Z308" s="640" t="s">
        <v>765</v>
      </c>
      <c r="AA308" s="640" t="s">
        <v>815</v>
      </c>
    </row>
    <row r="309" spans="24:27">
      <c r="X309" s="639">
        <v>437915</v>
      </c>
      <c r="Y309" s="639">
        <v>11</v>
      </c>
      <c r="Z309" s="640" t="s">
        <v>765</v>
      </c>
      <c r="AA309" s="640" t="s">
        <v>816</v>
      </c>
    </row>
    <row r="310" spans="24:27">
      <c r="X310" s="639">
        <v>437920</v>
      </c>
      <c r="Y310" s="639">
        <v>11</v>
      </c>
      <c r="Z310" s="640" t="s">
        <v>765</v>
      </c>
      <c r="AA310" s="640" t="s">
        <v>817</v>
      </c>
    </row>
    <row r="311" spans="24:27">
      <c r="X311" s="639">
        <v>443110</v>
      </c>
      <c r="Y311" s="639">
        <v>11</v>
      </c>
      <c r="Z311" s="640" t="s">
        <v>765</v>
      </c>
      <c r="AA311" s="640" t="s">
        <v>818</v>
      </c>
    </row>
    <row r="312" spans="24:27">
      <c r="X312" s="639">
        <v>451110</v>
      </c>
      <c r="Y312" s="639">
        <v>11</v>
      </c>
      <c r="Z312" s="640" t="s">
        <v>765</v>
      </c>
      <c r="AA312" s="640" t="s">
        <v>819</v>
      </c>
    </row>
    <row r="313" spans="24:27">
      <c r="X313" s="639">
        <v>451115</v>
      </c>
      <c r="Y313" s="639">
        <v>11</v>
      </c>
      <c r="Z313" s="640" t="s">
        <v>765</v>
      </c>
      <c r="AA313" s="640" t="s">
        <v>820</v>
      </c>
    </row>
    <row r="314" spans="24:27">
      <c r="X314" s="639">
        <v>451210</v>
      </c>
      <c r="Y314" s="639">
        <v>11</v>
      </c>
      <c r="Z314" s="640" t="s">
        <v>765</v>
      </c>
      <c r="AA314" s="640" t="s">
        <v>821</v>
      </c>
    </row>
    <row r="315" spans="24:27">
      <c r="X315" s="639">
        <v>451215</v>
      </c>
      <c r="Y315" s="639">
        <v>11</v>
      </c>
      <c r="Z315" s="640" t="s">
        <v>765</v>
      </c>
      <c r="AA315" s="640" t="s">
        <v>822</v>
      </c>
    </row>
    <row r="316" spans="24:27">
      <c r="X316" s="639">
        <v>451310</v>
      </c>
      <c r="Y316" s="639">
        <v>11</v>
      </c>
      <c r="Z316" s="640" t="s">
        <v>765</v>
      </c>
      <c r="AA316" s="640" t="s">
        <v>823</v>
      </c>
    </row>
    <row r="317" spans="24:27">
      <c r="X317" s="639">
        <v>451315</v>
      </c>
      <c r="Y317" s="639">
        <v>11</v>
      </c>
      <c r="Z317" s="640" t="s">
        <v>765</v>
      </c>
      <c r="AA317" s="640" t="s">
        <v>824</v>
      </c>
    </row>
    <row r="318" spans="24:27">
      <c r="X318" s="639">
        <v>452110</v>
      </c>
      <c r="Y318" s="639">
        <v>11</v>
      </c>
      <c r="Z318" s="640" t="s">
        <v>765</v>
      </c>
      <c r="AA318" s="640" t="s">
        <v>825</v>
      </c>
    </row>
    <row r="319" spans="24:27">
      <c r="X319" s="639">
        <v>452115</v>
      </c>
      <c r="Y319" s="639">
        <v>11</v>
      </c>
      <c r="Z319" s="640" t="s">
        <v>765</v>
      </c>
      <c r="AA319" s="640" t="s">
        <v>826</v>
      </c>
    </row>
    <row r="320" spans="24:27">
      <c r="X320" s="639">
        <v>452120</v>
      </c>
      <c r="Y320" s="639">
        <v>11</v>
      </c>
      <c r="Z320" s="640" t="s">
        <v>765</v>
      </c>
      <c r="AA320" s="640" t="s">
        <v>827</v>
      </c>
    </row>
    <row r="321" spans="24:27">
      <c r="X321" s="639">
        <v>452125</v>
      </c>
      <c r="Y321" s="639">
        <v>11</v>
      </c>
      <c r="Z321" s="640" t="s">
        <v>765</v>
      </c>
      <c r="AA321" s="640" t="s">
        <v>828</v>
      </c>
    </row>
    <row r="322" spans="24:27">
      <c r="X322" s="639">
        <v>452310</v>
      </c>
      <c r="Y322" s="639">
        <v>11</v>
      </c>
      <c r="Z322" s="640" t="s">
        <v>765</v>
      </c>
      <c r="AA322" s="640" t="s">
        <v>829</v>
      </c>
    </row>
    <row r="323" spans="24:27">
      <c r="X323" s="639">
        <v>452315</v>
      </c>
      <c r="Y323" s="639">
        <v>11</v>
      </c>
      <c r="Z323" s="640" t="s">
        <v>765</v>
      </c>
      <c r="AA323" s="640" t="s">
        <v>830</v>
      </c>
    </row>
    <row r="324" spans="24:27">
      <c r="X324" s="639">
        <v>452410</v>
      </c>
      <c r="Y324" s="639">
        <v>11</v>
      </c>
      <c r="Z324" s="640" t="s">
        <v>765</v>
      </c>
      <c r="AA324" s="640" t="s">
        <v>831</v>
      </c>
    </row>
    <row r="325" spans="24:27">
      <c r="X325" s="639">
        <v>452415</v>
      </c>
      <c r="Y325" s="639">
        <v>11</v>
      </c>
      <c r="Z325" s="640" t="s">
        <v>765</v>
      </c>
      <c r="AA325" s="640" t="s">
        <v>832</v>
      </c>
    </row>
    <row r="326" spans="24:27">
      <c r="X326" s="639">
        <v>452510</v>
      </c>
      <c r="Y326" s="639">
        <v>11</v>
      </c>
      <c r="Z326" s="640" t="s">
        <v>765</v>
      </c>
      <c r="AA326" s="640" t="s">
        <v>833</v>
      </c>
    </row>
    <row r="327" spans="24:27">
      <c r="X327" s="639">
        <v>452515</v>
      </c>
      <c r="Y327" s="639">
        <v>11</v>
      </c>
      <c r="Z327" s="640" t="s">
        <v>765</v>
      </c>
      <c r="AA327" s="640" t="s">
        <v>834</v>
      </c>
    </row>
    <row r="328" spans="24:27">
      <c r="X328" s="639">
        <v>452610</v>
      </c>
      <c r="Y328" s="639">
        <v>11</v>
      </c>
      <c r="Z328" s="640" t="s">
        <v>765</v>
      </c>
      <c r="AA328" s="640" t="s">
        <v>835</v>
      </c>
    </row>
    <row r="329" spans="24:27">
      <c r="X329" s="639">
        <v>452615</v>
      </c>
      <c r="Y329" s="639">
        <v>11</v>
      </c>
      <c r="Z329" s="640" t="s">
        <v>765</v>
      </c>
      <c r="AA329" s="640" t="s">
        <v>836</v>
      </c>
    </row>
    <row r="330" spans="24:27">
      <c r="X330" s="639">
        <v>452710</v>
      </c>
      <c r="Y330" s="639">
        <v>11</v>
      </c>
      <c r="Z330" s="640" t="s">
        <v>765</v>
      </c>
      <c r="AA330" s="640" t="s">
        <v>837</v>
      </c>
    </row>
    <row r="331" spans="24:27">
      <c r="X331" s="639">
        <v>452715</v>
      </c>
      <c r="Y331" s="639">
        <v>11</v>
      </c>
      <c r="Z331" s="640" t="s">
        <v>765</v>
      </c>
      <c r="AA331" s="640" t="s">
        <v>838</v>
      </c>
    </row>
    <row r="332" spans="24:27">
      <c r="X332" s="639">
        <v>452810</v>
      </c>
      <c r="Y332" s="639">
        <v>11</v>
      </c>
      <c r="Z332" s="640" t="s">
        <v>765</v>
      </c>
      <c r="AA332" s="640" t="s">
        <v>839</v>
      </c>
    </row>
    <row r="333" spans="24:27">
      <c r="X333" s="639">
        <v>452815</v>
      </c>
      <c r="Y333" s="639">
        <v>11</v>
      </c>
      <c r="Z333" s="640" t="s">
        <v>765</v>
      </c>
      <c r="AA333" s="640" t="s">
        <v>840</v>
      </c>
    </row>
    <row r="334" spans="24:27">
      <c r="X334" s="639">
        <v>452910</v>
      </c>
      <c r="Y334" s="639">
        <v>11</v>
      </c>
      <c r="Z334" s="640" t="s">
        <v>765</v>
      </c>
      <c r="AA334" s="640" t="s">
        <v>841</v>
      </c>
    </row>
    <row r="335" spans="24:27">
      <c r="X335" s="639">
        <v>452915</v>
      </c>
      <c r="Y335" s="639">
        <v>11</v>
      </c>
      <c r="Z335" s="640" t="s">
        <v>765</v>
      </c>
      <c r="AA335" s="640" t="s">
        <v>842</v>
      </c>
    </row>
    <row r="336" spans="24:27">
      <c r="X336" s="639">
        <v>453010</v>
      </c>
      <c r="Y336" s="639">
        <v>11</v>
      </c>
      <c r="Z336" s="640" t="s">
        <v>765</v>
      </c>
      <c r="AA336" s="640" t="s">
        <v>843</v>
      </c>
    </row>
    <row r="337" spans="24:27">
      <c r="X337" s="639">
        <v>453015</v>
      </c>
      <c r="Y337" s="639">
        <v>11</v>
      </c>
      <c r="Z337" s="640" t="s">
        <v>765</v>
      </c>
      <c r="AA337" s="640" t="s">
        <v>844</v>
      </c>
    </row>
    <row r="338" spans="24:27">
      <c r="X338" s="639">
        <v>453100</v>
      </c>
      <c r="Y338" s="639">
        <v>11</v>
      </c>
      <c r="Z338" s="640" t="s">
        <v>765</v>
      </c>
      <c r="AA338" s="640" t="s">
        <v>845</v>
      </c>
    </row>
    <row r="339" spans="24:27">
      <c r="X339" s="639">
        <v>453105</v>
      </c>
      <c r="Y339" s="639">
        <v>11</v>
      </c>
      <c r="Z339" s="640" t="s">
        <v>765</v>
      </c>
      <c r="AA339" s="640" t="s">
        <v>846</v>
      </c>
    </row>
    <row r="340" spans="24:27">
      <c r="X340" s="639">
        <v>453210</v>
      </c>
      <c r="Y340" s="639">
        <v>11</v>
      </c>
      <c r="Z340" s="640" t="s">
        <v>765</v>
      </c>
      <c r="AA340" s="640" t="s">
        <v>847</v>
      </c>
    </row>
    <row r="341" spans="24:27">
      <c r="X341" s="639">
        <v>453215</v>
      </c>
      <c r="Y341" s="639">
        <v>11</v>
      </c>
      <c r="Z341" s="640" t="s">
        <v>765</v>
      </c>
      <c r="AA341" s="640" t="s">
        <v>848</v>
      </c>
    </row>
    <row r="342" spans="24:27">
      <c r="X342" s="639">
        <v>453310</v>
      </c>
      <c r="Y342" s="639">
        <v>11</v>
      </c>
      <c r="Z342" s="640" t="s">
        <v>765</v>
      </c>
      <c r="AA342" s="640" t="s">
        <v>849</v>
      </c>
    </row>
    <row r="343" spans="24:27">
      <c r="X343" s="639">
        <v>453315</v>
      </c>
      <c r="Y343" s="639">
        <v>11</v>
      </c>
      <c r="Z343" s="640" t="s">
        <v>765</v>
      </c>
      <c r="AA343" s="640" t="s">
        <v>850</v>
      </c>
    </row>
    <row r="344" spans="24:27">
      <c r="X344" s="639">
        <v>453410</v>
      </c>
      <c r="Y344" s="639">
        <v>11</v>
      </c>
      <c r="Z344" s="640" t="s">
        <v>765</v>
      </c>
      <c r="AA344" s="640" t="s">
        <v>851</v>
      </c>
    </row>
    <row r="345" spans="24:27">
      <c r="X345" s="639">
        <v>453415</v>
      </c>
      <c r="Y345" s="639">
        <v>11</v>
      </c>
      <c r="Z345" s="640" t="s">
        <v>765</v>
      </c>
      <c r="AA345" s="640" t="s">
        <v>852</v>
      </c>
    </row>
    <row r="346" spans="24:27">
      <c r="X346" s="639">
        <v>453510</v>
      </c>
      <c r="Y346" s="639">
        <v>11</v>
      </c>
      <c r="Z346" s="640" t="s">
        <v>765</v>
      </c>
      <c r="AA346" s="640" t="s">
        <v>853</v>
      </c>
    </row>
    <row r="347" spans="24:27">
      <c r="X347" s="639">
        <v>453515</v>
      </c>
      <c r="Y347" s="639">
        <v>11</v>
      </c>
      <c r="Z347" s="640" t="s">
        <v>765</v>
      </c>
      <c r="AA347" s="640" t="s">
        <v>854</v>
      </c>
    </row>
    <row r="348" spans="24:27">
      <c r="X348" s="639">
        <v>453610</v>
      </c>
      <c r="Y348" s="639">
        <v>11</v>
      </c>
      <c r="Z348" s="640" t="s">
        <v>765</v>
      </c>
      <c r="AA348" s="640" t="s">
        <v>855</v>
      </c>
    </row>
    <row r="349" spans="24:27">
      <c r="X349" s="639">
        <v>453615</v>
      </c>
      <c r="Y349" s="639">
        <v>11</v>
      </c>
      <c r="Z349" s="640" t="s">
        <v>765</v>
      </c>
      <c r="AA349" s="640" t="s">
        <v>856</v>
      </c>
    </row>
    <row r="350" spans="24:27">
      <c r="X350" s="639">
        <v>453710</v>
      </c>
      <c r="Y350" s="639">
        <v>11</v>
      </c>
      <c r="Z350" s="640" t="s">
        <v>765</v>
      </c>
      <c r="AA350" s="640" t="s">
        <v>857</v>
      </c>
    </row>
    <row r="351" spans="24:27">
      <c r="X351" s="639">
        <v>453920</v>
      </c>
      <c r="Y351" s="639">
        <v>11</v>
      </c>
      <c r="Z351" s="640" t="s">
        <v>765</v>
      </c>
      <c r="AA351" s="640" t="s">
        <v>858</v>
      </c>
    </row>
    <row r="352" spans="24:27">
      <c r="X352" s="639">
        <v>453925</v>
      </c>
      <c r="Y352" s="639">
        <v>11</v>
      </c>
      <c r="Z352" s="640" t="s">
        <v>765</v>
      </c>
      <c r="AA352" s="640" t="s">
        <v>859</v>
      </c>
    </row>
    <row r="353" spans="24:27">
      <c r="X353" s="639">
        <v>453930</v>
      </c>
      <c r="Y353" s="639">
        <v>11</v>
      </c>
      <c r="Z353" s="640" t="s">
        <v>765</v>
      </c>
      <c r="AA353" s="640" t="s">
        <v>860</v>
      </c>
    </row>
    <row r="354" spans="24:27">
      <c r="X354" s="639">
        <v>453935</v>
      </c>
      <c r="Y354" s="639">
        <v>11</v>
      </c>
      <c r="Z354" s="640" t="s">
        <v>765</v>
      </c>
      <c r="AA354" s="640" t="s">
        <v>861</v>
      </c>
    </row>
    <row r="355" spans="24:27">
      <c r="X355" s="639">
        <v>453945</v>
      </c>
      <c r="Y355" s="639">
        <v>11</v>
      </c>
      <c r="Z355" s="640" t="s">
        <v>765</v>
      </c>
      <c r="AA355" s="640" t="s">
        <v>862</v>
      </c>
    </row>
    <row r="356" spans="24:27">
      <c r="X356" s="639">
        <v>454115</v>
      </c>
      <c r="Y356" s="639">
        <v>11</v>
      </c>
      <c r="Z356" s="640" t="s">
        <v>765</v>
      </c>
      <c r="AA356" s="640" t="s">
        <v>863</v>
      </c>
    </row>
    <row r="357" spans="24:27">
      <c r="X357" s="639">
        <v>454215</v>
      </c>
      <c r="Y357" s="639">
        <v>11</v>
      </c>
      <c r="Z357" s="640" t="s">
        <v>765</v>
      </c>
      <c r="AA357" s="640" t="s">
        <v>864</v>
      </c>
    </row>
    <row r="358" spans="24:27">
      <c r="X358" s="639">
        <v>454315</v>
      </c>
      <c r="Y358" s="639">
        <v>11</v>
      </c>
      <c r="Z358" s="640" t="s">
        <v>765</v>
      </c>
      <c r="AA358" s="640" t="s">
        <v>865</v>
      </c>
    </row>
    <row r="359" spans="24:27">
      <c r="X359" s="639">
        <v>454415</v>
      </c>
      <c r="Y359" s="639">
        <v>11</v>
      </c>
      <c r="Z359" s="640" t="s">
        <v>765</v>
      </c>
      <c r="AA359" s="640" t="s">
        <v>866</v>
      </c>
    </row>
    <row r="360" spans="24:27">
      <c r="X360" s="639">
        <v>454910</v>
      </c>
      <c r="Y360" s="639">
        <v>11</v>
      </c>
      <c r="Z360" s="640" t="s">
        <v>765</v>
      </c>
      <c r="AA360" s="640" t="s">
        <v>867</v>
      </c>
    </row>
    <row r="361" spans="24:27">
      <c r="X361" s="639">
        <v>454925</v>
      </c>
      <c r="Y361" s="639">
        <v>11</v>
      </c>
      <c r="Z361" s="640" t="s">
        <v>765</v>
      </c>
      <c r="AA361" s="640" t="s">
        <v>868</v>
      </c>
    </row>
    <row r="362" spans="24:27">
      <c r="X362" s="639">
        <v>454926</v>
      </c>
      <c r="Y362" s="639">
        <v>11</v>
      </c>
      <c r="Z362" s="640" t="s">
        <v>765</v>
      </c>
      <c r="AA362" s="640" t="s">
        <v>869</v>
      </c>
    </row>
    <row r="363" spans="24:27">
      <c r="X363" s="639">
        <v>471110</v>
      </c>
      <c r="Y363" s="639">
        <v>11</v>
      </c>
      <c r="Z363" s="640" t="s">
        <v>765</v>
      </c>
      <c r="AA363" s="640" t="s">
        <v>870</v>
      </c>
    </row>
    <row r="364" spans="24:27">
      <c r="X364" s="639">
        <v>471210</v>
      </c>
      <c r="Y364" s="639">
        <v>11</v>
      </c>
      <c r="Z364" s="640" t="s">
        <v>765</v>
      </c>
      <c r="AA364" s="640" t="s">
        <v>871</v>
      </c>
    </row>
    <row r="365" spans="24:27">
      <c r="X365" s="639">
        <v>471310</v>
      </c>
      <c r="Y365" s="639">
        <v>11</v>
      </c>
      <c r="Z365" s="640" t="s">
        <v>765</v>
      </c>
      <c r="AA365" s="640" t="s">
        <v>872</v>
      </c>
    </row>
    <row r="366" spans="24:27">
      <c r="X366" s="639">
        <v>471410</v>
      </c>
      <c r="Y366" s="639">
        <v>11</v>
      </c>
      <c r="Z366" s="640" t="s">
        <v>765</v>
      </c>
      <c r="AA366" s="640" t="s">
        <v>873</v>
      </c>
    </row>
    <row r="367" spans="24:27">
      <c r="X367" s="639">
        <v>471510</v>
      </c>
      <c r="Y367" s="639">
        <v>11</v>
      </c>
      <c r="Z367" s="640" t="s">
        <v>765</v>
      </c>
      <c r="AA367" s="640" t="s">
        <v>874</v>
      </c>
    </row>
    <row r="368" spans="24:27">
      <c r="X368" s="639">
        <v>472010</v>
      </c>
      <c r="Y368" s="639">
        <v>11</v>
      </c>
      <c r="Z368" s="640" t="s">
        <v>765</v>
      </c>
      <c r="AA368" s="640" t="s">
        <v>875</v>
      </c>
    </row>
    <row r="369" spans="24:27">
      <c r="X369" s="639">
        <v>473010</v>
      </c>
      <c r="Y369" s="639">
        <v>11</v>
      </c>
      <c r="Z369" s="640" t="s">
        <v>765</v>
      </c>
      <c r="AA369" s="640" t="s">
        <v>876</v>
      </c>
    </row>
    <row r="370" spans="24:27">
      <c r="X370" s="639">
        <v>499999</v>
      </c>
      <c r="Y370" s="639">
        <v>11</v>
      </c>
      <c r="Z370" s="640" t="s">
        <v>765</v>
      </c>
      <c r="AA370" s="640" t="s">
        <v>877</v>
      </c>
    </row>
    <row r="371" spans="24:27">
      <c r="X371" s="641">
        <v>689036</v>
      </c>
      <c r="Y371" s="641">
        <v>12</v>
      </c>
      <c r="Z371" s="642" t="s">
        <v>878</v>
      </c>
      <c r="AA371" s="642" t="s">
        <v>878</v>
      </c>
    </row>
    <row r="372" spans="24:27">
      <c r="X372" s="641">
        <v>689034</v>
      </c>
      <c r="Y372" s="641">
        <v>12</v>
      </c>
      <c r="Z372" s="642" t="s">
        <v>878</v>
      </c>
      <c r="AA372" s="642" t="s">
        <v>879</v>
      </c>
    </row>
    <row r="373" spans="24:27">
      <c r="X373" s="601" t="s">
        <v>195</v>
      </c>
      <c r="Y373" s="601">
        <v>13</v>
      </c>
      <c r="Z373" s="602" t="s">
        <v>200</v>
      </c>
      <c r="AA373" s="602" t="s">
        <v>880</v>
      </c>
    </row>
    <row r="374" spans="24:27">
      <c r="X374" s="601">
        <v>157410</v>
      </c>
      <c r="Y374" s="601">
        <v>13</v>
      </c>
      <c r="Z374" s="602" t="s">
        <v>200</v>
      </c>
      <c r="AA374" s="602" t="s">
        <v>881</v>
      </c>
    </row>
    <row r="375" spans="24:27">
      <c r="X375" s="601">
        <v>511110</v>
      </c>
      <c r="Y375" s="601">
        <v>13</v>
      </c>
      <c r="Z375" s="602" t="s">
        <v>200</v>
      </c>
      <c r="AA375" s="602" t="s">
        <v>882</v>
      </c>
    </row>
    <row r="376" spans="24:27">
      <c r="X376" s="601">
        <v>511220</v>
      </c>
      <c r="Y376" s="601">
        <v>13</v>
      </c>
      <c r="Z376" s="602" t="s">
        <v>200</v>
      </c>
      <c r="AA376" s="602" t="s">
        <v>883</v>
      </c>
    </row>
    <row r="377" spans="24:27">
      <c r="X377" s="601">
        <v>511310</v>
      </c>
      <c r="Y377" s="601">
        <v>13</v>
      </c>
      <c r="Z377" s="602" t="s">
        <v>200</v>
      </c>
      <c r="AA377" s="602" t="s">
        <v>884</v>
      </c>
    </row>
    <row r="378" spans="24:27">
      <c r="X378" s="601">
        <v>511410</v>
      </c>
      <c r="Y378" s="601">
        <v>13</v>
      </c>
      <c r="Z378" s="602" t="s">
        <v>200</v>
      </c>
      <c r="AA378" s="602" t="s">
        <v>885</v>
      </c>
    </row>
    <row r="379" spans="24:27">
      <c r="X379" s="601">
        <v>511510</v>
      </c>
      <c r="Y379" s="601">
        <v>13</v>
      </c>
      <c r="Z379" s="602" t="s">
        <v>200</v>
      </c>
      <c r="AA379" s="602" t="s">
        <v>886</v>
      </c>
    </row>
    <row r="380" spans="24:27">
      <c r="X380" s="601">
        <v>512010</v>
      </c>
      <c r="Y380" s="601">
        <v>13</v>
      </c>
      <c r="Z380" s="602" t="s">
        <v>200</v>
      </c>
      <c r="AA380" s="602" t="s">
        <v>887</v>
      </c>
    </row>
    <row r="381" spans="24:27">
      <c r="X381" s="601">
        <v>523210</v>
      </c>
      <c r="Y381" s="601">
        <v>13</v>
      </c>
      <c r="Z381" s="602" t="s">
        <v>200</v>
      </c>
      <c r="AA381" s="602" t="s">
        <v>888</v>
      </c>
    </row>
    <row r="382" spans="24:27">
      <c r="X382" s="601">
        <v>531105</v>
      </c>
      <c r="Y382" s="601">
        <v>13</v>
      </c>
      <c r="Z382" s="602" t="s">
        <v>200</v>
      </c>
      <c r="AA382" s="602" t="s">
        <v>889</v>
      </c>
    </row>
    <row r="383" spans="24:27">
      <c r="X383" s="601">
        <v>531106</v>
      </c>
      <c r="Y383" s="601">
        <v>13</v>
      </c>
      <c r="Z383" s="602" t="s">
        <v>200</v>
      </c>
      <c r="AA383" s="602" t="s">
        <v>890</v>
      </c>
    </row>
    <row r="384" spans="24:27">
      <c r="X384" s="601">
        <v>531205</v>
      </c>
      <c r="Y384" s="601">
        <v>13</v>
      </c>
      <c r="Z384" s="602" t="s">
        <v>200</v>
      </c>
      <c r="AA384" s="602" t="s">
        <v>891</v>
      </c>
    </row>
    <row r="385" spans="24:27">
      <c r="X385" s="601">
        <v>531305</v>
      </c>
      <c r="Y385" s="601">
        <v>13</v>
      </c>
      <c r="Z385" s="602" t="s">
        <v>200</v>
      </c>
      <c r="AA385" s="602" t="s">
        <v>892</v>
      </c>
    </row>
    <row r="386" spans="24:27">
      <c r="X386" s="601">
        <v>531405</v>
      </c>
      <c r="Y386" s="601">
        <v>13</v>
      </c>
      <c r="Z386" s="602" t="s">
        <v>200</v>
      </c>
      <c r="AA386" s="602" t="s">
        <v>893</v>
      </c>
    </row>
    <row r="387" spans="24:27">
      <c r="X387" s="601">
        <v>531411</v>
      </c>
      <c r="Y387" s="601">
        <v>13</v>
      </c>
      <c r="Z387" s="602" t="s">
        <v>200</v>
      </c>
      <c r="AA387" s="602" t="s">
        <v>894</v>
      </c>
    </row>
    <row r="388" spans="24:27">
      <c r="X388" s="601">
        <v>532105</v>
      </c>
      <c r="Y388" s="601">
        <v>13</v>
      </c>
      <c r="Z388" s="602" t="s">
        <v>200</v>
      </c>
      <c r="AA388" s="602" t="s">
        <v>895</v>
      </c>
    </row>
    <row r="389" spans="24:27">
      <c r="X389" s="601">
        <v>532205</v>
      </c>
      <c r="Y389" s="601">
        <v>13</v>
      </c>
      <c r="Z389" s="602" t="s">
        <v>200</v>
      </c>
      <c r="AA389" s="602" t="s">
        <v>896</v>
      </c>
    </row>
    <row r="390" spans="24:27">
      <c r="X390" s="601">
        <v>532305</v>
      </c>
      <c r="Y390" s="601">
        <v>13</v>
      </c>
      <c r="Z390" s="602" t="s">
        <v>200</v>
      </c>
      <c r="AA390" s="602" t="s">
        <v>897</v>
      </c>
    </row>
    <row r="391" spans="24:27">
      <c r="X391" s="601">
        <v>532405</v>
      </c>
      <c r="Y391" s="601">
        <v>13</v>
      </c>
      <c r="Z391" s="602" t="s">
        <v>200</v>
      </c>
      <c r="AA391" s="602" t="s">
        <v>898</v>
      </c>
    </row>
    <row r="392" spans="24:27">
      <c r="X392" s="601">
        <v>532510</v>
      </c>
      <c r="Y392" s="601">
        <v>13</v>
      </c>
      <c r="Z392" s="602" t="s">
        <v>200</v>
      </c>
      <c r="AA392" s="602" t="s">
        <v>899</v>
      </c>
    </row>
    <row r="393" spans="24:27">
      <c r="X393" s="601">
        <v>532610</v>
      </c>
      <c r="Y393" s="601">
        <v>13</v>
      </c>
      <c r="Z393" s="602" t="s">
        <v>200</v>
      </c>
      <c r="AA393" s="602" t="s">
        <v>900</v>
      </c>
    </row>
    <row r="394" spans="24:27">
      <c r="X394" s="601">
        <v>533105</v>
      </c>
      <c r="Y394" s="601">
        <v>13</v>
      </c>
      <c r="Z394" s="602" t="s">
        <v>200</v>
      </c>
      <c r="AA394" s="602" t="s">
        <v>901</v>
      </c>
    </row>
    <row r="395" spans="24:27">
      <c r="X395" s="601">
        <v>533107</v>
      </c>
      <c r="Y395" s="601">
        <v>13</v>
      </c>
      <c r="Z395" s="602" t="s">
        <v>200</v>
      </c>
      <c r="AA395" s="602" t="s">
        <v>902</v>
      </c>
    </row>
    <row r="396" spans="24:27">
      <c r="X396" s="601">
        <v>533205</v>
      </c>
      <c r="Y396" s="601">
        <v>13</v>
      </c>
      <c r="Z396" s="602" t="s">
        <v>200</v>
      </c>
      <c r="AA396" s="602" t="s">
        <v>903</v>
      </c>
    </row>
    <row r="397" spans="24:27">
      <c r="X397" s="601">
        <v>533601</v>
      </c>
      <c r="Y397" s="601">
        <v>13</v>
      </c>
      <c r="Z397" s="602" t="s">
        <v>200</v>
      </c>
      <c r="AA397" s="602" t="s">
        <v>904</v>
      </c>
    </row>
    <row r="398" spans="24:27">
      <c r="X398" s="601">
        <v>561300</v>
      </c>
      <c r="Y398" s="601">
        <v>13</v>
      </c>
      <c r="Z398" s="602" t="s">
        <v>200</v>
      </c>
      <c r="AA398" s="602" t="s">
        <v>905</v>
      </c>
    </row>
    <row r="399" spans="24:27">
      <c r="X399" s="601">
        <v>563010</v>
      </c>
      <c r="Y399" s="601">
        <v>13</v>
      </c>
      <c r="Z399" s="602" t="s">
        <v>200</v>
      </c>
      <c r="AA399" s="602" t="s">
        <v>906</v>
      </c>
    </row>
    <row r="400" spans="24:27">
      <c r="X400" s="601">
        <v>563110</v>
      </c>
      <c r="Y400" s="601">
        <v>13</v>
      </c>
      <c r="Z400" s="602" t="s">
        <v>200</v>
      </c>
      <c r="AA400" s="602" t="s">
        <v>907</v>
      </c>
    </row>
    <row r="401" spans="24:27">
      <c r="X401" s="601">
        <v>565010</v>
      </c>
      <c r="Y401" s="601">
        <v>13</v>
      </c>
      <c r="Z401" s="602" t="s">
        <v>200</v>
      </c>
      <c r="AA401" s="602" t="s">
        <v>908</v>
      </c>
    </row>
    <row r="402" spans="24:27">
      <c r="X402" s="601">
        <v>566010</v>
      </c>
      <c r="Y402" s="601">
        <v>13</v>
      </c>
      <c r="Z402" s="602" t="s">
        <v>200</v>
      </c>
      <c r="AA402" s="602" t="s">
        <v>909</v>
      </c>
    </row>
    <row r="403" spans="24:27">
      <c r="X403" s="601">
        <v>583010</v>
      </c>
      <c r="Y403" s="601">
        <v>13</v>
      </c>
      <c r="Z403" s="602" t="s">
        <v>200</v>
      </c>
      <c r="AA403" s="602" t="s">
        <v>910</v>
      </c>
    </row>
    <row r="404" spans="24:27">
      <c r="X404" s="601">
        <v>583020</v>
      </c>
      <c r="Y404" s="601">
        <v>13</v>
      </c>
      <c r="Z404" s="602" t="s">
        <v>200</v>
      </c>
      <c r="AA404" s="602" t="s">
        <v>911</v>
      </c>
    </row>
    <row r="405" spans="24:27">
      <c r="X405" s="601">
        <v>583030</v>
      </c>
      <c r="Y405" s="601">
        <v>13</v>
      </c>
      <c r="Z405" s="602" t="s">
        <v>200</v>
      </c>
      <c r="AA405" s="602" t="s">
        <v>912</v>
      </c>
    </row>
    <row r="406" spans="24:27">
      <c r="X406" s="601">
        <v>584015</v>
      </c>
      <c r="Y406" s="601">
        <v>13</v>
      </c>
      <c r="Z406" s="602" t="s">
        <v>200</v>
      </c>
      <c r="AA406" s="602" t="s">
        <v>913</v>
      </c>
    </row>
    <row r="407" spans="24:27">
      <c r="X407" s="601">
        <v>584030</v>
      </c>
      <c r="Y407" s="601">
        <v>13</v>
      </c>
      <c r="Z407" s="602" t="s">
        <v>200</v>
      </c>
      <c r="AA407" s="602" t="s">
        <v>914</v>
      </c>
    </row>
    <row r="408" spans="24:27">
      <c r="X408" s="601">
        <v>584035</v>
      </c>
      <c r="Y408" s="601">
        <v>13</v>
      </c>
      <c r="Z408" s="602" t="s">
        <v>200</v>
      </c>
      <c r="AA408" s="602" t="s">
        <v>915</v>
      </c>
    </row>
    <row r="409" spans="24:27">
      <c r="X409" s="601">
        <v>584037</v>
      </c>
      <c r="Y409" s="601">
        <v>13</v>
      </c>
      <c r="Z409" s="602" t="s">
        <v>200</v>
      </c>
      <c r="AA409" s="602" t="s">
        <v>304</v>
      </c>
    </row>
    <row r="410" spans="24:27">
      <c r="X410" s="601">
        <v>589001</v>
      </c>
      <c r="Y410" s="601">
        <v>13</v>
      </c>
      <c r="Z410" s="602" t="s">
        <v>200</v>
      </c>
      <c r="AA410" s="602" t="s">
        <v>916</v>
      </c>
    </row>
    <row r="411" spans="24:27">
      <c r="X411" s="601">
        <v>589002</v>
      </c>
      <c r="Y411" s="601">
        <v>13</v>
      </c>
      <c r="Z411" s="602" t="s">
        <v>200</v>
      </c>
      <c r="AA411" s="602" t="s">
        <v>917</v>
      </c>
    </row>
    <row r="412" spans="24:27">
      <c r="X412" s="601">
        <v>589003</v>
      </c>
      <c r="Y412" s="601">
        <v>13</v>
      </c>
      <c r="Z412" s="602" t="s">
        <v>200</v>
      </c>
      <c r="AA412" s="602" t="s">
        <v>918</v>
      </c>
    </row>
    <row r="413" spans="24:27">
      <c r="X413" s="601">
        <v>589010</v>
      </c>
      <c r="Y413" s="601">
        <v>13</v>
      </c>
      <c r="Z413" s="602" t="s">
        <v>200</v>
      </c>
      <c r="AA413" s="602" t="s">
        <v>919</v>
      </c>
    </row>
    <row r="414" spans="24:27">
      <c r="X414" s="601">
        <v>589020</v>
      </c>
      <c r="Y414" s="601">
        <v>13</v>
      </c>
      <c r="Z414" s="602" t="s">
        <v>200</v>
      </c>
      <c r="AA414" s="602" t="s">
        <v>920</v>
      </c>
    </row>
    <row r="415" spans="24:27">
      <c r="X415" s="601">
        <v>589030</v>
      </c>
      <c r="Y415" s="601">
        <v>13</v>
      </c>
      <c r="Z415" s="602" t="s">
        <v>200</v>
      </c>
      <c r="AA415" s="602" t="s">
        <v>921</v>
      </c>
    </row>
    <row r="416" spans="24:27">
      <c r="X416" s="601">
        <v>589040</v>
      </c>
      <c r="Y416" s="601">
        <v>13</v>
      </c>
      <c r="Z416" s="602" t="s">
        <v>200</v>
      </c>
      <c r="AA416" s="602" t="s">
        <v>922</v>
      </c>
    </row>
    <row r="417" spans="24:27">
      <c r="X417" s="601">
        <v>590010</v>
      </c>
      <c r="Y417" s="601">
        <v>13</v>
      </c>
      <c r="Z417" s="602" t="s">
        <v>200</v>
      </c>
      <c r="AA417" s="602" t="s">
        <v>923</v>
      </c>
    </row>
    <row r="418" spans="24:27">
      <c r="X418" s="601">
        <v>590020</v>
      </c>
      <c r="Y418" s="601">
        <v>13</v>
      </c>
      <c r="Z418" s="602" t="s">
        <v>200</v>
      </c>
      <c r="AA418" s="602" t="s">
        <v>924</v>
      </c>
    </row>
    <row r="419" spans="24:27">
      <c r="X419" s="601">
        <v>592000</v>
      </c>
      <c r="Y419" s="601">
        <v>13</v>
      </c>
      <c r="Z419" s="602" t="s">
        <v>200</v>
      </c>
      <c r="AA419" s="602" t="s">
        <v>925</v>
      </c>
    </row>
    <row r="420" spans="24:27">
      <c r="X420" s="601">
        <v>592010</v>
      </c>
      <c r="Y420" s="601">
        <v>13</v>
      </c>
      <c r="Z420" s="602" t="s">
        <v>200</v>
      </c>
      <c r="AA420" s="602" t="s">
        <v>926</v>
      </c>
    </row>
    <row r="421" spans="24:27">
      <c r="X421" s="601">
        <v>592510</v>
      </c>
      <c r="Y421" s="601">
        <v>13</v>
      </c>
      <c r="Z421" s="602" t="s">
        <v>200</v>
      </c>
      <c r="AA421" s="602" t="s">
        <v>927</v>
      </c>
    </row>
    <row r="422" spans="24:27">
      <c r="X422" s="601">
        <v>592610</v>
      </c>
      <c r="Y422" s="601">
        <v>13</v>
      </c>
      <c r="Z422" s="602" t="s">
        <v>200</v>
      </c>
      <c r="AA422" s="602" t="s">
        <v>928</v>
      </c>
    </row>
    <row r="423" spans="24:27">
      <c r="X423" s="601">
        <v>592700</v>
      </c>
      <c r="Y423" s="601">
        <v>13</v>
      </c>
      <c r="Z423" s="602" t="s">
        <v>200</v>
      </c>
      <c r="AA423" s="602" t="s">
        <v>929</v>
      </c>
    </row>
    <row r="424" spans="24:27">
      <c r="X424" s="601">
        <v>594010</v>
      </c>
      <c r="Y424" s="601">
        <v>13</v>
      </c>
      <c r="Z424" s="602" t="s">
        <v>200</v>
      </c>
      <c r="AA424" s="602" t="s">
        <v>930</v>
      </c>
    </row>
    <row r="425" spans="24:27">
      <c r="X425" s="601">
        <v>596010</v>
      </c>
      <c r="Y425" s="601">
        <v>13</v>
      </c>
      <c r="Z425" s="602" t="s">
        <v>200</v>
      </c>
      <c r="AA425" s="602" t="s">
        <v>931</v>
      </c>
    </row>
    <row r="426" spans="24:27">
      <c r="X426" s="601">
        <v>166410</v>
      </c>
      <c r="Y426" s="601">
        <v>13</v>
      </c>
      <c r="Z426" s="602" t="s">
        <v>200</v>
      </c>
      <c r="AA426" s="602" t="s">
        <v>932</v>
      </c>
    </row>
    <row r="427" spans="24:27">
      <c r="X427" s="602" t="s">
        <v>933</v>
      </c>
      <c r="Y427" s="601">
        <v>13</v>
      </c>
      <c r="Z427" s="602" t="s">
        <v>200</v>
      </c>
      <c r="AA427" s="602" t="s">
        <v>934</v>
      </c>
    </row>
    <row r="428" spans="24:27">
      <c r="X428" s="601">
        <v>221010</v>
      </c>
      <c r="Y428" s="601">
        <v>13</v>
      </c>
      <c r="Z428" s="602" t="s">
        <v>200</v>
      </c>
      <c r="AA428" s="602" t="s">
        <v>935</v>
      </c>
    </row>
    <row r="429" spans="24:27">
      <c r="X429" s="601">
        <v>221020</v>
      </c>
      <c r="Y429" s="601">
        <v>13</v>
      </c>
      <c r="Z429" s="602" t="s">
        <v>200</v>
      </c>
      <c r="AA429" s="602" t="s">
        <v>936</v>
      </c>
    </row>
    <row r="430" spans="24:27">
      <c r="X430" s="601">
        <v>222010</v>
      </c>
      <c r="Y430" s="601">
        <v>13</v>
      </c>
      <c r="Z430" s="602" t="s">
        <v>200</v>
      </c>
      <c r="AA430" s="602" t="s">
        <v>937</v>
      </c>
    </row>
    <row r="431" spans="24:27">
      <c r="X431" s="601">
        <v>223010</v>
      </c>
      <c r="Y431" s="601">
        <v>13</v>
      </c>
      <c r="Z431" s="602" t="s">
        <v>200</v>
      </c>
      <c r="AA431" s="602" t="s">
        <v>938</v>
      </c>
    </row>
    <row r="432" spans="24:27">
      <c r="X432" s="601">
        <v>224110</v>
      </c>
      <c r="Y432" s="601">
        <v>13</v>
      </c>
      <c r="Z432" s="602" t="s">
        <v>200</v>
      </c>
      <c r="AA432" s="602" t="s">
        <v>939</v>
      </c>
    </row>
    <row r="433" spans="24:27">
      <c r="X433" s="601">
        <v>224210</v>
      </c>
      <c r="Y433" s="601">
        <v>13</v>
      </c>
      <c r="Z433" s="602" t="s">
        <v>200</v>
      </c>
      <c r="AA433" s="602" t="s">
        <v>940</v>
      </c>
    </row>
    <row r="434" spans="24:27">
      <c r="X434" s="601">
        <v>224310</v>
      </c>
      <c r="Y434" s="601">
        <v>13</v>
      </c>
      <c r="Z434" s="602" t="s">
        <v>200</v>
      </c>
      <c r="AA434" s="602" t="s">
        <v>941</v>
      </c>
    </row>
    <row r="435" spans="24:27">
      <c r="X435" s="601">
        <v>224410</v>
      </c>
      <c r="Y435" s="601">
        <v>13</v>
      </c>
      <c r="Z435" s="602" t="s">
        <v>200</v>
      </c>
      <c r="AA435" s="602" t="s">
        <v>942</v>
      </c>
    </row>
    <row r="436" spans="24:27">
      <c r="X436" s="601">
        <v>224510</v>
      </c>
      <c r="Y436" s="601">
        <v>13</v>
      </c>
      <c r="Z436" s="602" t="s">
        <v>200</v>
      </c>
      <c r="AA436" s="602" t="s">
        <v>943</v>
      </c>
    </row>
    <row r="437" spans="24:27">
      <c r="X437" s="601" t="s">
        <v>944</v>
      </c>
      <c r="Y437" s="601">
        <v>13</v>
      </c>
      <c r="Z437" s="602" t="s">
        <v>200</v>
      </c>
      <c r="AA437" s="602" t="s">
        <v>945</v>
      </c>
    </row>
    <row r="438" spans="24:27">
      <c r="X438" s="601">
        <v>461015</v>
      </c>
      <c r="Y438" s="601">
        <v>13</v>
      </c>
      <c r="Z438" s="602" t="s">
        <v>200</v>
      </c>
      <c r="AA438" s="602" t="s">
        <v>946</v>
      </c>
    </row>
    <row r="439" spans="24:27">
      <c r="X439" s="601">
        <v>463010</v>
      </c>
      <c r="Y439" s="601">
        <v>13</v>
      </c>
      <c r="Z439" s="602" t="s">
        <v>200</v>
      </c>
      <c r="AA439" s="602" t="s">
        <v>947</v>
      </c>
    </row>
    <row r="440" spans="24:27">
      <c r="X440" s="601">
        <v>463015</v>
      </c>
      <c r="Y440" s="601">
        <v>13</v>
      </c>
      <c r="Z440" s="602" t="s">
        <v>200</v>
      </c>
      <c r="AA440" s="602" t="s">
        <v>948</v>
      </c>
    </row>
    <row r="441" spans="24:27">
      <c r="X441" s="606">
        <v>860010</v>
      </c>
      <c r="Y441" s="606">
        <v>14</v>
      </c>
      <c r="Z441" s="607" t="s">
        <v>949</v>
      </c>
      <c r="AA441" s="607" t="s">
        <v>949</v>
      </c>
    </row>
    <row r="442" spans="24:27">
      <c r="X442" s="606">
        <v>860013</v>
      </c>
      <c r="Y442" s="606">
        <v>14</v>
      </c>
      <c r="Z442" s="607" t="s">
        <v>950</v>
      </c>
      <c r="AA442" s="607" t="s">
        <v>950</v>
      </c>
    </row>
    <row r="443" spans="24:27">
      <c r="X443" s="643">
        <v>564010</v>
      </c>
      <c r="Y443" s="643">
        <v>15</v>
      </c>
      <c r="Z443" s="644" t="s">
        <v>880</v>
      </c>
      <c r="AA443" s="644" t="s">
        <v>951</v>
      </c>
    </row>
    <row r="444" spans="24:27">
      <c r="X444" s="600">
        <v>589020</v>
      </c>
      <c r="Y444" s="601">
        <v>13</v>
      </c>
      <c r="Z444" s="602" t="s">
        <v>200</v>
      </c>
      <c r="AA444" s="603" t="s">
        <v>920</v>
      </c>
    </row>
    <row r="445" spans="24:27">
      <c r="X445" s="600">
        <v>589030</v>
      </c>
      <c r="Y445" s="601">
        <v>13</v>
      </c>
      <c r="Z445" s="602" t="s">
        <v>200</v>
      </c>
      <c r="AA445" s="603" t="s">
        <v>921</v>
      </c>
    </row>
    <row r="446" spans="24:27">
      <c r="X446" s="600">
        <v>589040</v>
      </c>
      <c r="Y446" s="601">
        <v>13</v>
      </c>
      <c r="Z446" s="602" t="s">
        <v>200</v>
      </c>
      <c r="AA446" s="603" t="s">
        <v>922</v>
      </c>
    </row>
    <row r="447" spans="24:27">
      <c r="X447" s="600">
        <v>590010</v>
      </c>
      <c r="Y447" s="601">
        <v>13</v>
      </c>
      <c r="Z447" s="602" t="s">
        <v>200</v>
      </c>
      <c r="AA447" s="603" t="s">
        <v>923</v>
      </c>
    </row>
    <row r="448" spans="24:27">
      <c r="X448" s="600">
        <v>590020</v>
      </c>
      <c r="Y448" s="601">
        <v>13</v>
      </c>
      <c r="Z448" s="602" t="s">
        <v>200</v>
      </c>
      <c r="AA448" s="603" t="s">
        <v>924</v>
      </c>
    </row>
    <row r="449" spans="24:27">
      <c r="X449" s="600">
        <v>592000</v>
      </c>
      <c r="Y449" s="601">
        <v>13</v>
      </c>
      <c r="Z449" s="602" t="s">
        <v>200</v>
      </c>
      <c r="AA449" s="603" t="s">
        <v>925</v>
      </c>
    </row>
    <row r="450" spans="24:27">
      <c r="X450" s="600">
        <v>592010</v>
      </c>
      <c r="Y450" s="601">
        <v>13</v>
      </c>
      <c r="Z450" s="602" t="s">
        <v>200</v>
      </c>
      <c r="AA450" s="603" t="s">
        <v>926</v>
      </c>
    </row>
    <row r="451" spans="24:27">
      <c r="X451" s="600">
        <v>592510</v>
      </c>
      <c r="Y451" s="601">
        <v>13</v>
      </c>
      <c r="Z451" s="602" t="s">
        <v>200</v>
      </c>
      <c r="AA451" s="603" t="s">
        <v>927</v>
      </c>
    </row>
    <row r="452" spans="24:27">
      <c r="X452" s="600">
        <v>592610</v>
      </c>
      <c r="Y452" s="601">
        <v>13</v>
      </c>
      <c r="Z452" s="602" t="s">
        <v>200</v>
      </c>
      <c r="AA452" s="603" t="s">
        <v>928</v>
      </c>
    </row>
    <row r="453" spans="24:27">
      <c r="X453" s="600">
        <v>592700</v>
      </c>
      <c r="Y453" s="601">
        <v>13</v>
      </c>
      <c r="Z453" s="602" t="s">
        <v>200</v>
      </c>
      <c r="AA453" s="603" t="s">
        <v>929</v>
      </c>
    </row>
    <row r="454" spans="24:27">
      <c r="X454" s="600">
        <v>594010</v>
      </c>
      <c r="Y454" s="601">
        <v>13</v>
      </c>
      <c r="Z454" s="602" t="s">
        <v>200</v>
      </c>
      <c r="AA454" s="603" t="s">
        <v>930</v>
      </c>
    </row>
    <row r="455" spans="24:27">
      <c r="X455" s="600">
        <v>596010</v>
      </c>
      <c r="Y455" s="601">
        <v>13</v>
      </c>
      <c r="Z455" s="602" t="s">
        <v>200</v>
      </c>
      <c r="AA455" s="603" t="s">
        <v>931</v>
      </c>
    </row>
    <row r="456" spans="24:27">
      <c r="X456" s="600">
        <v>166410</v>
      </c>
      <c r="Y456" s="601">
        <v>13</v>
      </c>
      <c r="Z456" s="602" t="s">
        <v>200</v>
      </c>
      <c r="AA456" s="603" t="s">
        <v>932</v>
      </c>
    </row>
    <row r="457" spans="24:27">
      <c r="X457" s="604" t="s">
        <v>933</v>
      </c>
      <c r="Y457" s="601">
        <v>13</v>
      </c>
      <c r="Z457" s="602" t="s">
        <v>200</v>
      </c>
      <c r="AA457" s="603" t="s">
        <v>934</v>
      </c>
    </row>
    <row r="458" spans="24:27">
      <c r="X458" s="600">
        <v>221010</v>
      </c>
      <c r="Y458" s="601">
        <v>13</v>
      </c>
      <c r="Z458" s="602" t="s">
        <v>200</v>
      </c>
      <c r="AA458" s="603" t="s">
        <v>935</v>
      </c>
    </row>
    <row r="459" spans="24:27">
      <c r="X459" s="600">
        <v>221020</v>
      </c>
      <c r="Y459" s="601">
        <v>13</v>
      </c>
      <c r="Z459" s="602" t="s">
        <v>200</v>
      </c>
      <c r="AA459" s="603" t="s">
        <v>936</v>
      </c>
    </row>
    <row r="460" spans="24:27">
      <c r="X460" s="600">
        <v>222010</v>
      </c>
      <c r="Y460" s="601">
        <v>13</v>
      </c>
      <c r="Z460" s="602" t="s">
        <v>200</v>
      </c>
      <c r="AA460" s="603" t="s">
        <v>937</v>
      </c>
    </row>
    <row r="461" spans="24:27">
      <c r="X461" s="600">
        <v>223010</v>
      </c>
      <c r="Y461" s="601">
        <v>13</v>
      </c>
      <c r="Z461" s="602" t="s">
        <v>200</v>
      </c>
      <c r="AA461" s="603" t="s">
        <v>938</v>
      </c>
    </row>
    <row r="462" spans="24:27">
      <c r="X462" s="600">
        <v>224110</v>
      </c>
      <c r="Y462" s="601">
        <v>13</v>
      </c>
      <c r="Z462" s="602" t="s">
        <v>200</v>
      </c>
      <c r="AA462" s="603" t="s">
        <v>939</v>
      </c>
    </row>
    <row r="463" spans="24:27">
      <c r="X463" s="600">
        <v>224210</v>
      </c>
      <c r="Y463" s="601">
        <v>13</v>
      </c>
      <c r="Z463" s="602" t="s">
        <v>200</v>
      </c>
      <c r="AA463" s="603" t="s">
        <v>940</v>
      </c>
    </row>
    <row r="464" spans="24:27">
      <c r="X464" s="600">
        <v>224310</v>
      </c>
      <c r="Y464" s="601">
        <v>13</v>
      </c>
      <c r="Z464" s="602" t="s">
        <v>200</v>
      </c>
      <c r="AA464" s="603" t="s">
        <v>941</v>
      </c>
    </row>
    <row r="465" spans="24:27">
      <c r="X465" s="600">
        <v>224410</v>
      </c>
      <c r="Y465" s="601">
        <v>13</v>
      </c>
      <c r="Z465" s="602" t="s">
        <v>200</v>
      </c>
      <c r="AA465" s="603" t="s">
        <v>942</v>
      </c>
    </row>
    <row r="466" spans="24:27">
      <c r="X466" s="600">
        <v>224510</v>
      </c>
      <c r="Y466" s="601">
        <v>13</v>
      </c>
      <c r="Z466" s="602" t="s">
        <v>200</v>
      </c>
      <c r="AA466" s="603" t="s">
        <v>943</v>
      </c>
    </row>
    <row r="467" spans="24:27">
      <c r="X467" s="600" t="s">
        <v>944</v>
      </c>
      <c r="Y467" s="601">
        <v>13</v>
      </c>
      <c r="Z467" s="602" t="s">
        <v>200</v>
      </c>
      <c r="AA467" s="603" t="s">
        <v>945</v>
      </c>
    </row>
    <row r="468" spans="24:27">
      <c r="X468" s="600">
        <v>461015</v>
      </c>
      <c r="Y468" s="601">
        <v>13</v>
      </c>
      <c r="Z468" s="602" t="s">
        <v>200</v>
      </c>
      <c r="AA468" s="603" t="s">
        <v>946</v>
      </c>
    </row>
    <row r="469" spans="24:27">
      <c r="X469" s="600">
        <v>463010</v>
      </c>
      <c r="Y469" s="601">
        <v>13</v>
      </c>
      <c r="Z469" s="602" t="s">
        <v>200</v>
      </c>
      <c r="AA469" s="603" t="s">
        <v>947</v>
      </c>
    </row>
    <row r="470" spans="24:27">
      <c r="X470" s="600">
        <v>463015</v>
      </c>
      <c r="Y470" s="601">
        <v>13</v>
      </c>
      <c r="Z470" s="602" t="s">
        <v>200</v>
      </c>
      <c r="AA470" s="603" t="s">
        <v>948</v>
      </c>
    </row>
    <row r="471" spans="24:27">
      <c r="X471" s="605">
        <v>860010</v>
      </c>
      <c r="Y471" s="606">
        <v>14</v>
      </c>
      <c r="Z471" s="607" t="s">
        <v>949</v>
      </c>
      <c r="AA471" s="608" t="s">
        <v>949</v>
      </c>
    </row>
    <row r="472" spans="24:27">
      <c r="X472" s="605">
        <v>860013</v>
      </c>
      <c r="Y472" s="606">
        <v>14</v>
      </c>
      <c r="Z472" s="607" t="s">
        <v>950</v>
      </c>
      <c r="AA472" s="608" t="s">
        <v>950</v>
      </c>
    </row>
    <row r="473" spans="24:27">
      <c r="X473" s="609">
        <v>564010</v>
      </c>
      <c r="Y473" s="610">
        <v>15</v>
      </c>
      <c r="Z473" s="611" t="s">
        <v>880</v>
      </c>
      <c r="AA473" s="612" t="s">
        <v>951</v>
      </c>
    </row>
  </sheetData>
  <autoFilter ref="X1:AA473" xr:uid="{00000000-0001-0000-0700-000000000000}"/>
  <sortState xmlns:xlrd2="http://schemas.microsoft.com/office/spreadsheetml/2017/richdata2" ref="A44:B59">
    <sortCondition ref="B47:B59"/>
  </sortState>
  <mergeCells count="45">
    <mergeCell ref="A31:N31"/>
    <mergeCell ref="B19:B25"/>
    <mergeCell ref="A43:B43"/>
    <mergeCell ref="A40:C41"/>
    <mergeCell ref="C14:C17"/>
    <mergeCell ref="B14:B17"/>
    <mergeCell ref="A14:A17"/>
    <mergeCell ref="A18:D18"/>
    <mergeCell ref="D37:N37"/>
    <mergeCell ref="D32:N32"/>
    <mergeCell ref="A32:B32"/>
    <mergeCell ref="A33:B33"/>
    <mergeCell ref="A34:B34"/>
    <mergeCell ref="A35:B35"/>
    <mergeCell ref="D33:N33"/>
    <mergeCell ref="D34:N34"/>
    <mergeCell ref="D40:N40"/>
    <mergeCell ref="D41:N41"/>
    <mergeCell ref="D38:N39"/>
    <mergeCell ref="A38:C39"/>
    <mergeCell ref="D35:N35"/>
    <mergeCell ref="A37:B37"/>
    <mergeCell ref="A36:B36"/>
    <mergeCell ref="D36:N36"/>
    <mergeCell ref="A1:B1"/>
    <mergeCell ref="D1:L1"/>
    <mergeCell ref="D2:L2"/>
    <mergeCell ref="D3:H3"/>
    <mergeCell ref="A4:A12"/>
    <mergeCell ref="B4:B12"/>
    <mergeCell ref="C4:C12"/>
    <mergeCell ref="A2:C2"/>
    <mergeCell ref="N3:R3"/>
    <mergeCell ref="N10:R10"/>
    <mergeCell ref="N17:R17"/>
    <mergeCell ref="A13:L13"/>
    <mergeCell ref="D27:L28"/>
    <mergeCell ref="D14:D15"/>
    <mergeCell ref="A19:A25"/>
    <mergeCell ref="C19:C25"/>
    <mergeCell ref="A27:A28"/>
    <mergeCell ref="B27:B28"/>
    <mergeCell ref="C27:C28"/>
    <mergeCell ref="A26:L26"/>
    <mergeCell ref="N24:R24"/>
  </mergeCell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C3353-A1B6-47BA-8484-6FF34E5F5FBC}">
  <sheetPr codeName="Sheet12"/>
  <dimension ref="B1:AM51"/>
  <sheetViews>
    <sheetView showGridLines="0" workbookViewId="0">
      <selection activeCell="P21" sqref="P21"/>
    </sheetView>
  </sheetViews>
  <sheetFormatPr defaultColWidth="9.140625" defaultRowHeight="0" customHeight="1" zeroHeight="1"/>
  <cols>
    <col min="1" max="1" width="4.28515625" style="161" customWidth="1"/>
    <col min="2" max="2" width="18.7109375" style="161" customWidth="1"/>
    <col min="3" max="3" width="15.28515625" style="161" customWidth="1"/>
    <col min="4" max="4" width="16.7109375" style="161" customWidth="1"/>
    <col min="5" max="5" width="18.42578125" style="161" customWidth="1"/>
    <col min="6" max="6" width="15.42578125" style="161" customWidth="1"/>
    <col min="7" max="8" width="3.7109375" style="161" customWidth="1"/>
    <col min="9" max="9" width="32.7109375" style="161" customWidth="1"/>
    <col min="10" max="10" width="20.85546875" style="161" customWidth="1"/>
    <col min="11" max="13" width="3.7109375" style="161" customWidth="1"/>
    <col min="14" max="15" width="32.7109375" style="161" customWidth="1"/>
    <col min="16" max="16" width="20.85546875" style="161" customWidth="1"/>
    <col min="17" max="19" width="3.7109375" style="161" customWidth="1"/>
    <col min="20" max="21" width="32.7109375" style="161" customWidth="1"/>
    <col min="22" max="22" width="20.85546875" style="161" customWidth="1"/>
    <col min="23" max="25" width="3.7109375" style="161" customWidth="1"/>
    <col min="26" max="28" width="23.85546875" style="161" customWidth="1"/>
    <col min="29" max="30" width="3.7109375" style="161" customWidth="1"/>
    <col min="31" max="31" width="5.140625" style="161" customWidth="1"/>
    <col min="32" max="33" width="19.85546875" style="161" customWidth="1"/>
    <col min="34" max="34" width="23.42578125" style="161" customWidth="1"/>
    <col min="35" max="35" width="8.85546875" style="161"/>
    <col min="36" max="16384" width="9.140625" style="161"/>
  </cols>
  <sheetData>
    <row r="1" spans="2:39" ht="15"/>
    <row r="2" spans="2:39" ht="21" customHeight="1">
      <c r="B2" s="1481" t="s">
        <v>952</v>
      </c>
      <c r="C2" s="1482"/>
      <c r="D2" s="1482"/>
      <c r="E2" s="1482"/>
      <c r="F2" s="1483"/>
      <c r="H2" s="1478" t="s">
        <v>953</v>
      </c>
      <c r="I2" s="1478"/>
      <c r="J2" s="1478"/>
      <c r="K2" s="1478"/>
      <c r="M2" s="1478" t="s">
        <v>954</v>
      </c>
      <c r="N2" s="1478"/>
      <c r="O2" s="1478"/>
      <c r="P2" s="1478"/>
      <c r="Q2" s="1478"/>
      <c r="S2" s="1478" t="s">
        <v>955</v>
      </c>
      <c r="T2" s="1478"/>
      <c r="U2" s="1478"/>
      <c r="V2" s="1478"/>
      <c r="W2" s="1478"/>
      <c r="Y2" s="1478" t="s">
        <v>956</v>
      </c>
      <c r="Z2" s="1478"/>
      <c r="AA2" s="1478"/>
      <c r="AB2" s="1478"/>
      <c r="AC2" s="1478"/>
      <c r="AE2" s="1479" t="s">
        <v>957</v>
      </c>
      <c r="AF2" s="1479"/>
      <c r="AG2" s="1479"/>
      <c r="AH2" s="1479"/>
      <c r="AI2" s="1479"/>
    </row>
    <row r="3" spans="2:39" ht="31.5">
      <c r="B3" s="162" t="s">
        <v>958</v>
      </c>
      <c r="C3" s="163" t="s">
        <v>959</v>
      </c>
      <c r="D3" s="163" t="s">
        <v>960</v>
      </c>
      <c r="E3" s="163" t="s">
        <v>961</v>
      </c>
      <c r="F3" s="163" t="s">
        <v>962</v>
      </c>
      <c r="H3" s="666"/>
      <c r="I3" s="1493" t="s">
        <v>963</v>
      </c>
      <c r="J3" s="1493"/>
      <c r="K3" s="667"/>
      <c r="M3" s="666"/>
      <c r="N3" s="549" t="s">
        <v>964</v>
      </c>
      <c r="O3" s="548"/>
      <c r="P3" s="548"/>
      <c r="Q3" s="667"/>
      <c r="S3" s="666"/>
      <c r="T3" s="549" t="s">
        <v>965</v>
      </c>
      <c r="U3" s="549"/>
      <c r="V3" s="549"/>
      <c r="W3" s="667"/>
      <c r="Y3" s="668"/>
      <c r="Z3" s="1475"/>
      <c r="AA3" s="1475"/>
      <c r="AB3" s="1475"/>
      <c r="AC3" s="669"/>
      <c r="AE3" s="666"/>
      <c r="AF3" s="1480"/>
      <c r="AG3" s="1480"/>
      <c r="AH3" s="1480"/>
      <c r="AI3" s="667"/>
    </row>
    <row r="4" spans="2:39" ht="15.75">
      <c r="B4" s="164" t="s">
        <v>966</v>
      </c>
      <c r="C4" s="165">
        <v>0</v>
      </c>
      <c r="D4" s="166">
        <f>C4/9</f>
        <v>0</v>
      </c>
      <c r="E4" s="167">
        <f>(D4*3)+C4</f>
        <v>0</v>
      </c>
      <c r="F4" s="168">
        <f>D4*3</f>
        <v>0</v>
      </c>
      <c r="H4" s="670"/>
      <c r="I4" s="1477"/>
      <c r="J4" s="1477"/>
      <c r="K4" s="671"/>
      <c r="M4" s="670"/>
      <c r="N4" s="207"/>
      <c r="O4" s="207"/>
      <c r="P4" s="207"/>
      <c r="Q4" s="671"/>
      <c r="S4" s="670"/>
      <c r="T4" s="207"/>
      <c r="U4" s="207"/>
      <c r="V4" s="207"/>
      <c r="W4" s="671"/>
      <c r="Y4" s="672"/>
      <c r="Z4" s="1477" t="s">
        <v>967</v>
      </c>
      <c r="AA4" s="1477"/>
      <c r="AB4" s="1477"/>
      <c r="AC4" s="673"/>
      <c r="AE4" s="670"/>
      <c r="AF4" s="1477" t="s">
        <v>968</v>
      </c>
      <c r="AG4" s="1477"/>
      <c r="AH4" s="1477"/>
      <c r="AI4" s="671"/>
    </row>
    <row r="5" spans="2:39" ht="15">
      <c r="B5" s="169" t="s">
        <v>969</v>
      </c>
      <c r="C5" s="165">
        <v>0</v>
      </c>
      <c r="D5" s="170">
        <f>C5/10</f>
        <v>0</v>
      </c>
      <c r="E5" s="171">
        <f>(D5*2)+C5</f>
        <v>0</v>
      </c>
      <c r="F5" s="172">
        <f>D5*2</f>
        <v>0</v>
      </c>
      <c r="H5" s="670"/>
      <c r="I5" s="208" t="s">
        <v>970</v>
      </c>
      <c r="J5" s="219">
        <v>34542</v>
      </c>
      <c r="K5" s="671"/>
      <c r="M5" s="670"/>
      <c r="N5" s="207"/>
      <c r="O5" s="208" t="s">
        <v>971</v>
      </c>
      <c r="P5" s="219">
        <v>65520</v>
      </c>
      <c r="Q5" s="671"/>
      <c r="S5" s="670"/>
      <c r="T5" s="207"/>
      <c r="U5" s="208" t="s">
        <v>971</v>
      </c>
      <c r="V5" s="219">
        <v>129202</v>
      </c>
      <c r="W5" s="671"/>
      <c r="Y5" s="672"/>
      <c r="Z5" s="207"/>
      <c r="AA5" s="207"/>
      <c r="AB5" s="207"/>
      <c r="AC5" s="673"/>
      <c r="AE5" s="670"/>
      <c r="AF5" s="207"/>
      <c r="AG5" s="208" t="s">
        <v>972</v>
      </c>
      <c r="AH5" s="226">
        <v>200000</v>
      </c>
      <c r="AI5" s="671"/>
      <c r="AM5" s="318"/>
    </row>
    <row r="6" spans="2:39" ht="15">
      <c r="B6" s="169" t="s">
        <v>973</v>
      </c>
      <c r="C6" s="165">
        <v>0</v>
      </c>
      <c r="D6" s="170">
        <f>C6/11</f>
        <v>0</v>
      </c>
      <c r="E6" s="171">
        <f>(D6*1)+C6</f>
        <v>0</v>
      </c>
      <c r="F6" s="172">
        <f>D6*1</f>
        <v>0</v>
      </c>
      <c r="H6" s="670"/>
      <c r="I6" s="691" t="s">
        <v>974</v>
      </c>
      <c r="J6" s="357">
        <v>0.2</v>
      </c>
      <c r="K6" s="671"/>
      <c r="M6" s="670"/>
      <c r="N6" s="207"/>
      <c r="O6" s="208" t="s">
        <v>136</v>
      </c>
      <c r="P6" s="219">
        <v>10</v>
      </c>
      <c r="Q6" s="671"/>
      <c r="S6" s="670"/>
      <c r="T6" s="207"/>
      <c r="U6" s="208" t="s">
        <v>136</v>
      </c>
      <c r="V6" s="219">
        <v>9</v>
      </c>
      <c r="W6" s="671"/>
      <c r="Y6" s="672"/>
      <c r="Z6" s="207"/>
      <c r="AA6" s="208" t="s">
        <v>975</v>
      </c>
      <c r="AB6" s="226">
        <v>1468</v>
      </c>
      <c r="AC6" s="673"/>
      <c r="AE6" s="670"/>
      <c r="AF6" s="207"/>
      <c r="AG6" s="208" t="s">
        <v>116</v>
      </c>
      <c r="AH6" s="219">
        <v>0</v>
      </c>
      <c r="AI6" s="671"/>
      <c r="AM6" s="318"/>
    </row>
    <row r="7" spans="2:39" ht="15">
      <c r="B7" s="169" t="s">
        <v>976</v>
      </c>
      <c r="C7" s="173">
        <v>0</v>
      </c>
      <c r="D7" s="170">
        <f>C7/12</f>
        <v>0</v>
      </c>
      <c r="E7" s="171">
        <f>(D7*0)+C7</f>
        <v>0</v>
      </c>
      <c r="F7" s="172">
        <f>D7*0</f>
        <v>0</v>
      </c>
      <c r="H7" s="670"/>
      <c r="I7" s="692"/>
      <c r="J7" s="692"/>
      <c r="K7" s="671"/>
      <c r="M7" s="670"/>
      <c r="N7" s="207"/>
      <c r="O7" s="208" t="s">
        <v>977</v>
      </c>
      <c r="P7" s="219">
        <v>3800</v>
      </c>
      <c r="Q7" s="671"/>
      <c r="S7" s="670"/>
      <c r="T7" s="207"/>
      <c r="U7" s="208" t="s">
        <v>978</v>
      </c>
      <c r="V7" s="219">
        <v>18300</v>
      </c>
      <c r="W7" s="671"/>
      <c r="Y7" s="672"/>
      <c r="Z7" s="207"/>
      <c r="AA7" s="208" t="s">
        <v>979</v>
      </c>
      <c r="AB7" s="220">
        <v>0.01</v>
      </c>
      <c r="AC7" s="673"/>
      <c r="AE7" s="670"/>
      <c r="AF7" s="207"/>
      <c r="AG7" s="208" t="s">
        <v>117</v>
      </c>
      <c r="AH7" s="219">
        <v>130000</v>
      </c>
      <c r="AI7" s="671"/>
      <c r="AM7" s="318"/>
    </row>
    <row r="8" spans="2:39" ht="15">
      <c r="H8" s="670"/>
      <c r="I8" s="689" t="s">
        <v>980</v>
      </c>
      <c r="J8" s="690">
        <f>J5/(1-J6)</f>
        <v>43177.5</v>
      </c>
      <c r="K8" s="671"/>
      <c r="M8" s="670"/>
      <c r="N8" s="207"/>
      <c r="O8" s="208" t="s">
        <v>981</v>
      </c>
      <c r="P8" s="222">
        <v>0</v>
      </c>
      <c r="Q8" s="671"/>
      <c r="S8" s="670"/>
      <c r="T8" s="207"/>
      <c r="U8" s="208" t="s">
        <v>979</v>
      </c>
      <c r="V8" s="220">
        <v>0.32690000000000002</v>
      </c>
      <c r="W8" s="671"/>
      <c r="Y8" s="672"/>
      <c r="Z8" s="207"/>
      <c r="AA8" s="208"/>
      <c r="AB8" s="207"/>
      <c r="AC8" s="673"/>
      <c r="AE8" s="670"/>
      <c r="AF8" s="207"/>
      <c r="AG8" s="208" t="s">
        <v>982</v>
      </c>
      <c r="AH8" s="219">
        <v>0</v>
      </c>
      <c r="AI8" s="671"/>
    </row>
    <row r="9" spans="2:39" ht="15">
      <c r="B9" s="1484" t="s">
        <v>983</v>
      </c>
      <c r="C9" s="1485"/>
      <c r="D9" s="1485"/>
      <c r="E9" s="1485"/>
      <c r="F9" s="1486"/>
      <c r="H9" s="670"/>
      <c r="I9" s="207"/>
      <c r="J9" s="207"/>
      <c r="K9" s="671"/>
      <c r="M9" s="670"/>
      <c r="N9" s="207"/>
      <c r="O9" s="208"/>
      <c r="P9" s="207"/>
      <c r="Q9" s="671"/>
      <c r="S9" s="670"/>
      <c r="T9" s="207"/>
      <c r="U9" s="208"/>
      <c r="V9" s="207"/>
      <c r="W9" s="671"/>
      <c r="Y9" s="672"/>
      <c r="Z9" s="207"/>
      <c r="AA9" s="205" t="s">
        <v>977</v>
      </c>
      <c r="AB9" s="218">
        <f>AB6/(1+AB7)</f>
        <v>1453.4653465346535</v>
      </c>
      <c r="AC9" s="673"/>
      <c r="AE9" s="670"/>
      <c r="AF9" s="207"/>
      <c r="AG9" s="208" t="s">
        <v>984</v>
      </c>
      <c r="AH9" s="220">
        <v>0.44240000000000002</v>
      </c>
      <c r="AI9" s="671"/>
    </row>
    <row r="10" spans="2:39" ht="15">
      <c r="B10" s="1487" t="s">
        <v>985</v>
      </c>
      <c r="C10" s="1488"/>
      <c r="D10" s="1488"/>
      <c r="E10" s="1488"/>
      <c r="F10" s="1489"/>
      <c r="H10" s="670"/>
      <c r="I10" s="688" t="s">
        <v>974</v>
      </c>
      <c r="J10" s="218">
        <f>J8-J5</f>
        <v>8635.5</v>
      </c>
      <c r="K10" s="671"/>
      <c r="M10" s="670"/>
      <c r="N10" s="207"/>
      <c r="O10" s="205" t="s">
        <v>986</v>
      </c>
      <c r="P10" s="217">
        <f>(P7-((P5*P8)/P6))/P5</f>
        <v>5.7997557997558E-2</v>
      </c>
      <c r="Q10" s="671"/>
      <c r="S10" s="670"/>
      <c r="T10" s="207"/>
      <c r="U10" s="205" t="s">
        <v>987</v>
      </c>
      <c r="V10" s="324">
        <f>(V6*V7)/(V5*(1+V8))</f>
        <v>0.96069641187379762</v>
      </c>
      <c r="W10" s="671"/>
      <c r="Y10" s="672"/>
      <c r="Z10" s="207"/>
      <c r="AA10" s="208"/>
      <c r="AB10" s="209">
        <f>AB9/15</f>
        <v>96.897689768976903</v>
      </c>
      <c r="AC10" s="673"/>
      <c r="AE10" s="670"/>
      <c r="AF10" s="207"/>
      <c r="AG10" s="207"/>
      <c r="AH10" s="207"/>
      <c r="AI10" s="671"/>
    </row>
    <row r="11" spans="2:39" ht="15">
      <c r="B11" s="1487"/>
      <c r="C11" s="1488"/>
      <c r="D11" s="1488"/>
      <c r="E11" s="1488"/>
      <c r="F11" s="1489"/>
      <c r="H11" s="674"/>
      <c r="I11" s="216"/>
      <c r="J11" s="216"/>
      <c r="K11" s="675"/>
      <c r="M11" s="674"/>
      <c r="N11" s="210"/>
      <c r="O11" s="211"/>
      <c r="P11" s="215"/>
      <c r="Q11" s="675"/>
      <c r="S11" s="674"/>
      <c r="T11" s="210"/>
      <c r="U11" s="211"/>
      <c r="V11" s="215"/>
      <c r="W11" s="675"/>
      <c r="Y11" s="672"/>
      <c r="Z11" s="207"/>
      <c r="AA11" s="208"/>
      <c r="AB11" s="209"/>
      <c r="AC11" s="673"/>
      <c r="AE11" s="670"/>
      <c r="AF11" s="207"/>
      <c r="AG11" s="205" t="s">
        <v>988</v>
      </c>
      <c r="AH11" s="358">
        <f>(AH5-AH6-AH7-AH8)/(AH9+1)</f>
        <v>48530.227398779811</v>
      </c>
      <c r="AI11" s="671"/>
    </row>
    <row r="12" spans="2:39" ht="15">
      <c r="B12" s="1487"/>
      <c r="C12" s="1488"/>
      <c r="D12" s="1488"/>
      <c r="E12" s="1488"/>
      <c r="F12" s="1489"/>
      <c r="Y12" s="676"/>
      <c r="Z12" s="223"/>
      <c r="AA12" s="224"/>
      <c r="AB12" s="225"/>
      <c r="AC12" s="677"/>
      <c r="AE12" s="674"/>
      <c r="AF12" s="210"/>
      <c r="AG12" s="211"/>
      <c r="AH12" s="550"/>
      <c r="AI12" s="675"/>
    </row>
    <row r="13" spans="2:39" ht="15">
      <c r="B13" s="1487"/>
      <c r="C13" s="1488"/>
      <c r="D13" s="1488"/>
      <c r="E13" s="1488"/>
      <c r="F13" s="1489"/>
      <c r="M13" s="666"/>
      <c r="N13" s="212"/>
      <c r="O13" s="212"/>
      <c r="P13" s="212"/>
      <c r="Q13" s="667"/>
      <c r="S13" s="666"/>
      <c r="T13" s="212"/>
      <c r="U13" s="213"/>
      <c r="V13" s="214"/>
      <c r="W13" s="667"/>
    </row>
    <row r="14" spans="2:39" ht="15.75">
      <c r="B14" s="1490"/>
      <c r="C14" s="1491"/>
      <c r="D14" s="1491"/>
      <c r="E14" s="1491"/>
      <c r="F14" s="1492"/>
      <c r="J14" s="161">
        <f>8511-8635.5</f>
        <v>-124.5</v>
      </c>
      <c r="M14" s="670"/>
      <c r="N14" s="1476" t="s">
        <v>989</v>
      </c>
      <c r="O14" s="1476"/>
      <c r="P14" s="1476"/>
      <c r="Q14" s="671"/>
      <c r="S14" s="670"/>
      <c r="T14" s="1477" t="s">
        <v>990</v>
      </c>
      <c r="U14" s="1477"/>
      <c r="V14" s="1477"/>
      <c r="W14" s="671"/>
    </row>
    <row r="15" spans="2:39" ht="15">
      <c r="M15" s="670"/>
      <c r="N15" s="207"/>
      <c r="O15" s="207"/>
      <c r="P15" s="207"/>
      <c r="Q15" s="671"/>
      <c r="S15" s="670"/>
      <c r="T15" s="207"/>
      <c r="U15" s="207"/>
      <c r="V15" s="207"/>
      <c r="W15" s="671"/>
      <c r="AB15" s="696"/>
    </row>
    <row r="16" spans="2:39" ht="15">
      <c r="B16" s="1613" t="s">
        <v>991</v>
      </c>
      <c r="C16" s="1614"/>
      <c r="D16" s="1614"/>
      <c r="E16" s="1614"/>
      <c r="F16" s="1615"/>
      <c r="M16" s="670"/>
      <c r="N16" s="207"/>
      <c r="O16" s="208" t="s">
        <v>992</v>
      </c>
      <c r="P16" s="219">
        <v>2080</v>
      </c>
      <c r="Q16" s="671"/>
      <c r="S16" s="670"/>
      <c r="T16" s="207"/>
      <c r="U16" s="208" t="s">
        <v>971</v>
      </c>
      <c r="V16" s="219">
        <v>56966</v>
      </c>
      <c r="W16" s="671"/>
      <c r="AB16" s="318"/>
    </row>
    <row r="17" spans="2:34" ht="15" customHeight="1">
      <c r="B17" s="1469" t="s">
        <v>993</v>
      </c>
      <c r="C17" s="1470"/>
      <c r="D17" s="1470"/>
      <c r="E17" s="1470"/>
      <c r="F17" s="1471"/>
      <c r="M17" s="670"/>
      <c r="N17" s="207"/>
      <c r="O17" s="208" t="s">
        <v>971</v>
      </c>
      <c r="P17" s="219">
        <v>45736</v>
      </c>
      <c r="Q17" s="671"/>
      <c r="S17" s="670"/>
      <c r="T17" s="207"/>
      <c r="U17" s="208" t="s">
        <v>136</v>
      </c>
      <c r="V17" s="219">
        <v>9</v>
      </c>
      <c r="W17" s="671"/>
      <c r="AB17" s="318"/>
      <c r="AH17" s="318"/>
    </row>
    <row r="18" spans="2:34" ht="15">
      <c r="B18" s="1469"/>
      <c r="C18" s="1470"/>
      <c r="D18" s="1470"/>
      <c r="E18" s="1470"/>
      <c r="F18" s="1471"/>
      <c r="M18" s="670"/>
      <c r="N18" s="207"/>
      <c r="O18" s="208" t="s">
        <v>136</v>
      </c>
      <c r="P18" s="219">
        <v>10</v>
      </c>
      <c r="Q18" s="671"/>
      <c r="S18" s="670"/>
      <c r="T18" s="207"/>
      <c r="U18" s="208" t="s">
        <v>977</v>
      </c>
      <c r="V18" s="219">
        <v>1000</v>
      </c>
      <c r="W18" s="671"/>
      <c r="AB18" s="318"/>
      <c r="AH18" s="318"/>
    </row>
    <row r="19" spans="2:34" ht="15">
      <c r="B19" s="1469"/>
      <c r="C19" s="1470"/>
      <c r="D19" s="1470"/>
      <c r="E19" s="1470"/>
      <c r="F19" s="1471"/>
      <c r="M19" s="670"/>
      <c r="N19" s="207"/>
      <c r="O19" s="208" t="s">
        <v>987</v>
      </c>
      <c r="P19" s="221">
        <v>0</v>
      </c>
      <c r="Q19" s="671"/>
      <c r="S19" s="670"/>
      <c r="T19" s="207"/>
      <c r="U19" s="208"/>
      <c r="V19" s="207"/>
      <c r="W19" s="671"/>
      <c r="AB19" s="318"/>
    </row>
    <row r="20" spans="2:34" ht="15" customHeight="1">
      <c r="B20" s="1469"/>
      <c r="C20" s="1470"/>
      <c r="D20" s="1470"/>
      <c r="E20" s="1470"/>
      <c r="F20" s="1471"/>
      <c r="M20" s="670"/>
      <c r="N20" s="207"/>
      <c r="O20" s="208" t="s">
        <v>979</v>
      </c>
      <c r="P20" s="220">
        <v>0.32690000000000002</v>
      </c>
      <c r="Q20" s="671"/>
      <c r="S20" s="670"/>
      <c r="T20" s="207"/>
      <c r="U20" s="205" t="s">
        <v>987</v>
      </c>
      <c r="V20" s="317">
        <f>V18/(V16/V17)</f>
        <v>0.15798897588034969</v>
      </c>
      <c r="W20" s="671"/>
      <c r="AB20" s="318"/>
    </row>
    <row r="21" spans="2:34" ht="15" customHeight="1">
      <c r="B21" s="1472"/>
      <c r="C21" s="1473"/>
      <c r="D21" s="1473"/>
      <c r="E21" s="1473"/>
      <c r="F21" s="1474"/>
      <c r="M21" s="670"/>
      <c r="N21" s="207"/>
      <c r="O21" s="208" t="s">
        <v>486</v>
      </c>
      <c r="P21" s="219">
        <v>8095</v>
      </c>
      <c r="Q21" s="671"/>
      <c r="S21" s="674"/>
      <c r="T21" s="210"/>
      <c r="U21" s="211"/>
      <c r="V21" s="215"/>
      <c r="W21" s="675"/>
    </row>
    <row r="22" spans="2:34" ht="15" customHeight="1">
      <c r="B22" s="206"/>
      <c r="C22" s="206"/>
      <c r="D22" s="206"/>
      <c r="E22" s="206"/>
      <c r="F22" s="206"/>
      <c r="M22" s="670"/>
      <c r="N22" s="207"/>
      <c r="O22" s="208"/>
      <c r="P22" s="207"/>
      <c r="Q22" s="671"/>
    </row>
    <row r="23" spans="2:34" ht="15" customHeight="1">
      <c r="B23" s="206"/>
      <c r="C23" s="206"/>
      <c r="D23" s="206"/>
      <c r="E23" s="206"/>
      <c r="F23" s="206"/>
      <c r="M23" s="670"/>
      <c r="N23" s="207"/>
      <c r="O23" s="205" t="s">
        <v>986</v>
      </c>
      <c r="P23" s="325">
        <f>(P16-(((1+P20)*P17*P19)/P18))/(((1+P20)*P17)+P21)</f>
        <v>3.0240426628216976E-2</v>
      </c>
      <c r="Q23" s="671"/>
    </row>
    <row r="24" spans="2:34" ht="15" customHeight="1">
      <c r="B24" s="206"/>
      <c r="C24" s="206"/>
      <c r="D24" s="206"/>
      <c r="E24" s="206"/>
      <c r="F24" s="206"/>
      <c r="M24" s="674"/>
      <c r="N24" s="216"/>
      <c r="O24" s="216"/>
      <c r="P24" s="216"/>
      <c r="Q24" s="675"/>
    </row>
    <row r="25" spans="2:34" ht="22.5" customHeight="1">
      <c r="B25" s="206"/>
      <c r="C25" s="206"/>
      <c r="D25" s="206"/>
      <c r="E25" s="206"/>
      <c r="F25" s="206"/>
    </row>
    <row r="26" spans="2:34" ht="15" customHeight="1">
      <c r="B26" s="206"/>
      <c r="C26" s="206"/>
      <c r="D26" s="206"/>
      <c r="E26" s="206"/>
      <c r="F26" s="206"/>
      <c r="M26" s="666"/>
      <c r="N26" s="212"/>
      <c r="O26" s="213"/>
      <c r="P26" s="214"/>
      <c r="Q26" s="667"/>
    </row>
    <row r="27" spans="2:34" ht="15" customHeight="1">
      <c r="B27" s="206"/>
      <c r="C27" s="206"/>
      <c r="D27" s="206"/>
      <c r="E27" s="206"/>
      <c r="F27" s="206"/>
      <c r="M27" s="670"/>
      <c r="N27" s="1477" t="s">
        <v>994</v>
      </c>
      <c r="O27" s="1477"/>
      <c r="P27" s="1477"/>
      <c r="Q27" s="671"/>
    </row>
    <row r="28" spans="2:34" ht="15" customHeight="1">
      <c r="B28" s="206"/>
      <c r="C28" s="206"/>
      <c r="D28" s="206"/>
      <c r="E28" s="206"/>
      <c r="F28" s="206"/>
      <c r="M28" s="670"/>
      <c r="N28" s="548"/>
      <c r="O28" s="548"/>
      <c r="P28" s="548"/>
      <c r="Q28" s="671"/>
    </row>
    <row r="29" spans="2:34" ht="15" customHeight="1">
      <c r="B29" s="206"/>
      <c r="C29" s="206"/>
      <c r="D29" s="206"/>
      <c r="E29" s="206"/>
      <c r="F29" s="206"/>
      <c r="M29" s="670"/>
      <c r="N29" s="207"/>
      <c r="O29" s="208" t="s">
        <v>995</v>
      </c>
      <c r="P29" s="219">
        <v>5080</v>
      </c>
      <c r="Q29" s="671"/>
    </row>
    <row r="30" spans="2:34" ht="15" customHeight="1">
      <c r="B30" s="206"/>
      <c r="C30" s="206"/>
      <c r="D30" s="206"/>
      <c r="E30" s="206"/>
      <c r="F30" s="206"/>
      <c r="M30" s="670"/>
      <c r="N30" s="207"/>
      <c r="O30" s="208" t="s">
        <v>986</v>
      </c>
      <c r="P30" s="357">
        <v>1</v>
      </c>
      <c r="Q30" s="671"/>
    </row>
    <row r="31" spans="2:34" ht="15" customHeight="1">
      <c r="B31" s="206"/>
      <c r="C31" s="206"/>
      <c r="D31" s="206"/>
      <c r="E31" s="206"/>
      <c r="F31" s="206"/>
      <c r="M31" s="670"/>
      <c r="N31" s="207"/>
      <c r="O31" s="208" t="s">
        <v>996</v>
      </c>
      <c r="P31" s="220">
        <v>0.3367</v>
      </c>
      <c r="Q31" s="671"/>
    </row>
    <row r="32" spans="2:34" ht="15" customHeight="1">
      <c r="B32" s="206"/>
      <c r="C32" s="206"/>
      <c r="D32" s="206"/>
      <c r="E32" s="206"/>
      <c r="F32" s="206"/>
      <c r="M32" s="670"/>
      <c r="N32" s="207"/>
      <c r="O32" s="208" t="s">
        <v>486</v>
      </c>
      <c r="P32" s="219">
        <v>0</v>
      </c>
      <c r="Q32" s="671"/>
    </row>
    <row r="33" spans="2:28" ht="15" customHeight="1">
      <c r="B33" s="206"/>
      <c r="C33" s="206"/>
      <c r="D33" s="206"/>
      <c r="E33" s="206"/>
      <c r="F33" s="206"/>
      <c r="M33" s="670"/>
      <c r="N33" s="207"/>
      <c r="O33" s="208"/>
      <c r="P33" s="207"/>
      <c r="Q33" s="671"/>
    </row>
    <row r="34" spans="2:28" ht="15" customHeight="1">
      <c r="B34" s="206"/>
      <c r="C34" s="206"/>
      <c r="D34" s="206"/>
      <c r="E34" s="206"/>
      <c r="F34" s="206"/>
      <c r="M34" s="670"/>
      <c r="N34" s="207"/>
      <c r="O34" s="205" t="s">
        <v>977</v>
      </c>
      <c r="P34" s="358">
        <f>(P29-(P32)*P30)/(P30*(1+P31))</f>
        <v>3800.4039799506245</v>
      </c>
      <c r="Q34" s="671"/>
      <c r="AB34" s="318"/>
    </row>
    <row r="35" spans="2:28" ht="15" customHeight="1">
      <c r="B35" s="206"/>
      <c r="C35" s="206"/>
      <c r="D35" s="206"/>
      <c r="E35" s="206"/>
      <c r="F35" s="206"/>
      <c r="L35" s="206"/>
      <c r="M35" s="674"/>
      <c r="N35" s="216"/>
      <c r="O35" s="216"/>
      <c r="P35" s="216"/>
      <c r="Q35" s="675"/>
      <c r="R35" s="206"/>
      <c r="X35" s="206"/>
      <c r="Y35" s="206"/>
      <c r="Z35" s="206"/>
      <c r="AB35" s="318"/>
    </row>
    <row r="36" spans="2:28" ht="15" customHeight="1">
      <c r="B36" s="206"/>
      <c r="C36" s="206"/>
      <c r="D36" s="206"/>
      <c r="E36" s="206"/>
      <c r="F36" s="206"/>
      <c r="AB36" s="318"/>
    </row>
    <row r="37" spans="2:28" ht="15" customHeight="1">
      <c r="B37" s="206"/>
      <c r="C37" s="206"/>
      <c r="D37" s="206"/>
      <c r="E37" s="206"/>
      <c r="F37" s="206"/>
      <c r="AB37" s="318"/>
    </row>
    <row r="38" spans="2:28" ht="15" customHeight="1">
      <c r="B38" s="206"/>
      <c r="C38" s="206"/>
      <c r="D38" s="206"/>
      <c r="E38" s="206"/>
      <c r="F38" s="206"/>
      <c r="AB38" s="318"/>
    </row>
    <row r="39" spans="2:28" ht="15" customHeight="1"/>
    <row r="40" spans="2:28" ht="15"/>
    <row r="41" spans="2:28" ht="15" customHeight="1"/>
    <row r="42" spans="2:28" ht="15" customHeight="1"/>
    <row r="43" spans="2:28" ht="15" customHeight="1"/>
    <row r="44" spans="2:28" ht="15" customHeight="1"/>
    <row r="45" spans="2:28" ht="15" customHeight="1"/>
    <row r="46" spans="2:28" ht="15" customHeight="1"/>
    <row r="47" spans="2:28" ht="15" hidden="1"/>
    <row r="48" spans="2:28" ht="15"/>
    <row r="49" ht="15"/>
    <row r="50" ht="15"/>
    <row r="51" ht="15"/>
  </sheetData>
  <mergeCells count="19">
    <mergeCell ref="B2:F2"/>
    <mergeCell ref="B9:F9"/>
    <mergeCell ref="B10:F14"/>
    <mergeCell ref="B16:F16"/>
    <mergeCell ref="I4:J4"/>
    <mergeCell ref="I3:J3"/>
    <mergeCell ref="H2:K2"/>
    <mergeCell ref="M2:Q2"/>
    <mergeCell ref="Y2:AC2"/>
    <mergeCell ref="AE2:AI2"/>
    <mergeCell ref="S2:W2"/>
    <mergeCell ref="N27:P27"/>
    <mergeCell ref="AF4:AH4"/>
    <mergeCell ref="AF3:AH3"/>
    <mergeCell ref="B17:F21"/>
    <mergeCell ref="Z3:AB3"/>
    <mergeCell ref="N14:P14"/>
    <mergeCell ref="Z4:AB4"/>
    <mergeCell ref="T14:V14"/>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7FBD2-BA89-4306-A24B-4866D9C3DE5F}">
  <sheetPr codeName="Sheet13"/>
  <dimension ref="A1:AC33"/>
  <sheetViews>
    <sheetView workbookViewId="0">
      <selection activeCell="Z18" sqref="Z18"/>
    </sheetView>
  </sheetViews>
  <sheetFormatPr defaultRowHeight="15"/>
  <cols>
    <col min="3" max="3" width="10.85546875" customWidth="1"/>
    <col min="6" max="6" width="14.140625" customWidth="1"/>
    <col min="9" max="9" width="11" customWidth="1"/>
    <col min="12" max="12" width="14.42578125" customWidth="1"/>
    <col min="15" max="15" width="11.28515625" customWidth="1"/>
    <col min="18" max="18" width="13.7109375" customWidth="1"/>
    <col min="21" max="21" width="9.85546875" bestFit="1" customWidth="1"/>
    <col min="24" max="24" width="13.140625" customWidth="1"/>
  </cols>
  <sheetData>
    <row r="1" spans="1:29" ht="15" customHeight="1">
      <c r="A1" s="1616" t="s">
        <v>997</v>
      </c>
      <c r="B1" s="1616"/>
      <c r="C1" s="1616"/>
      <c r="D1" s="1616"/>
      <c r="E1" s="1616"/>
      <c r="F1" s="1616"/>
      <c r="G1" s="18"/>
      <c r="H1" s="1616" t="s">
        <v>998</v>
      </c>
      <c r="I1" s="1616"/>
      <c r="J1" s="1616"/>
      <c r="K1" s="1616"/>
      <c r="L1" s="1616"/>
      <c r="M1" s="18"/>
      <c r="N1" s="1616" t="s">
        <v>999</v>
      </c>
      <c r="O1" s="1616"/>
      <c r="P1" s="1616"/>
      <c r="Q1" s="1616"/>
      <c r="R1" s="1616"/>
      <c r="S1" s="18"/>
      <c r="T1" s="1616" t="s">
        <v>1000</v>
      </c>
      <c r="U1" s="1616"/>
      <c r="V1" s="1616"/>
      <c r="W1" s="1616"/>
      <c r="X1" s="1616"/>
      <c r="Z1" s="1616" t="s">
        <v>1001</v>
      </c>
      <c r="AA1" s="1616"/>
      <c r="AB1" s="1616"/>
    </row>
    <row r="2" spans="1:29">
      <c r="A2" s="18"/>
      <c r="B2" s="1617"/>
      <c r="C2" s="1617"/>
      <c r="D2" s="1617"/>
      <c r="E2" s="1617"/>
      <c r="F2" s="1617"/>
      <c r="G2" s="1617"/>
      <c r="H2" s="1617"/>
      <c r="I2" s="1617"/>
      <c r="J2" s="1617"/>
      <c r="K2" s="1617"/>
      <c r="L2" s="1617"/>
      <c r="M2" s="18"/>
      <c r="N2" s="18"/>
      <c r="O2" s="18"/>
      <c r="P2" s="18"/>
      <c r="Q2" s="18"/>
      <c r="R2" s="18"/>
      <c r="S2" s="18"/>
      <c r="T2" s="18"/>
      <c r="U2" s="18"/>
      <c r="V2" s="18"/>
      <c r="W2" s="18"/>
      <c r="X2" s="18"/>
      <c r="Z2" s="18"/>
      <c r="AA2" s="18"/>
      <c r="AB2" s="18"/>
    </row>
    <row r="3" spans="1:29">
      <c r="A3" s="18"/>
      <c r="B3" s="1618" t="s">
        <v>1002</v>
      </c>
      <c r="C3" s="1619"/>
      <c r="D3" s="18"/>
      <c r="E3" s="1618" t="s">
        <v>1003</v>
      </c>
      <c r="F3" s="1619"/>
      <c r="G3" s="18"/>
      <c r="H3" s="1618" t="s">
        <v>1002</v>
      </c>
      <c r="I3" s="1619"/>
      <c r="J3" s="18"/>
      <c r="K3" s="1618" t="s">
        <v>1004</v>
      </c>
      <c r="L3" s="1619"/>
      <c r="M3" s="18"/>
      <c r="N3" s="1618" t="s">
        <v>1002</v>
      </c>
      <c r="O3" s="1619"/>
      <c r="P3" s="18"/>
      <c r="Q3" s="1618" t="s">
        <v>1005</v>
      </c>
      <c r="R3" s="1619"/>
      <c r="S3" s="18"/>
      <c r="T3" s="1618" t="s">
        <v>1006</v>
      </c>
      <c r="U3" s="1619"/>
      <c r="V3" s="18"/>
      <c r="W3" s="1618" t="s">
        <v>1005</v>
      </c>
      <c r="X3" s="1619"/>
      <c r="Z3" s="1494" t="s">
        <v>1007</v>
      </c>
      <c r="AA3" s="1495"/>
      <c r="AB3" s="1496"/>
    </row>
    <row r="4" spans="1:29">
      <c r="A4" s="18"/>
      <c r="B4" s="1620" t="s">
        <v>1008</v>
      </c>
      <c r="C4" s="1621"/>
      <c r="D4" s="18"/>
      <c r="E4" s="1620" t="s">
        <v>1009</v>
      </c>
      <c r="F4" s="1621"/>
      <c r="G4" s="18"/>
      <c r="H4" s="1620" t="s">
        <v>1010</v>
      </c>
      <c r="I4" s="1621"/>
      <c r="J4" s="18"/>
      <c r="K4" s="1620" t="s">
        <v>1009</v>
      </c>
      <c r="L4" s="1621"/>
      <c r="M4" s="18"/>
      <c r="N4" s="1620" t="s">
        <v>1011</v>
      </c>
      <c r="O4" s="1621"/>
      <c r="P4" s="18"/>
      <c r="Q4" s="1620" t="s">
        <v>1009</v>
      </c>
      <c r="R4" s="1621"/>
      <c r="S4" s="18"/>
      <c r="T4" s="1620" t="s">
        <v>1011</v>
      </c>
      <c r="U4" s="1621"/>
      <c r="V4" s="18"/>
      <c r="W4" s="1620" t="s">
        <v>1009</v>
      </c>
      <c r="X4" s="1621"/>
      <c r="Z4" s="1497" t="s">
        <v>1012</v>
      </c>
      <c r="AA4" s="1498"/>
      <c r="AB4" s="1499"/>
    </row>
    <row r="5" spans="1:29">
      <c r="A5" s="18"/>
      <c r="B5" s="1622" t="s">
        <v>1013</v>
      </c>
      <c r="C5" s="1623"/>
      <c r="D5" s="18"/>
      <c r="E5" s="1624" t="s">
        <v>1013</v>
      </c>
      <c r="F5" s="1625"/>
      <c r="G5" s="18"/>
      <c r="H5" s="1624" t="s">
        <v>1014</v>
      </c>
      <c r="I5" s="1625"/>
      <c r="J5" s="18"/>
      <c r="K5" s="1624" t="s">
        <v>1014</v>
      </c>
      <c r="L5" s="1625"/>
      <c r="M5" s="18"/>
      <c r="N5" s="1624" t="s">
        <v>1015</v>
      </c>
      <c r="O5" s="1625"/>
      <c r="P5" s="18"/>
      <c r="Q5" s="1624" t="s">
        <v>1015</v>
      </c>
      <c r="R5" s="1625"/>
      <c r="S5" s="18"/>
      <c r="T5" s="1624" t="s">
        <v>1015</v>
      </c>
      <c r="U5" s="1625"/>
      <c r="V5" s="18"/>
      <c r="W5" s="1624" t="s">
        <v>1015</v>
      </c>
      <c r="X5" s="1625"/>
      <c r="Z5" s="18"/>
      <c r="AA5" s="18"/>
      <c r="AB5" s="18"/>
    </row>
    <row r="6" spans="1:29" ht="26.25">
      <c r="A6" s="18"/>
      <c r="B6" s="65" t="s">
        <v>986</v>
      </c>
      <c r="C6" s="66" t="s">
        <v>1016</v>
      </c>
      <c r="D6" s="18"/>
      <c r="E6" s="67" t="s">
        <v>1016</v>
      </c>
      <c r="F6" s="68" t="s">
        <v>986</v>
      </c>
      <c r="G6" s="18"/>
      <c r="H6" s="69" t="s">
        <v>986</v>
      </c>
      <c r="I6" s="70" t="s">
        <v>1017</v>
      </c>
      <c r="J6" s="18"/>
      <c r="K6" s="71" t="s">
        <v>1017</v>
      </c>
      <c r="L6" s="72" t="s">
        <v>986</v>
      </c>
      <c r="M6" s="18"/>
      <c r="N6" s="73" t="s">
        <v>986</v>
      </c>
      <c r="O6" s="74" t="s">
        <v>981</v>
      </c>
      <c r="P6" s="18"/>
      <c r="Q6" s="75" t="s">
        <v>981</v>
      </c>
      <c r="R6" s="76" t="s">
        <v>986</v>
      </c>
      <c r="S6" s="18"/>
      <c r="T6" s="77" t="s">
        <v>1018</v>
      </c>
      <c r="U6" s="78" t="s">
        <v>981</v>
      </c>
      <c r="V6" s="18"/>
      <c r="W6" s="75" t="s">
        <v>981</v>
      </c>
      <c r="X6" s="76" t="s">
        <v>986</v>
      </c>
      <c r="Z6" s="79" t="s">
        <v>1019</v>
      </c>
      <c r="AA6" s="79"/>
      <c r="AB6" s="18"/>
    </row>
    <row r="7" spans="1:29">
      <c r="A7" s="18"/>
      <c r="B7" s="81">
        <v>1</v>
      </c>
      <c r="C7" s="82">
        <v>12</v>
      </c>
      <c r="D7" s="18"/>
      <c r="E7" s="83">
        <v>12</v>
      </c>
      <c r="F7" s="84">
        <v>1</v>
      </c>
      <c r="G7" s="18"/>
      <c r="H7" s="85">
        <v>1</v>
      </c>
      <c r="I7" s="86">
        <v>9</v>
      </c>
      <c r="J7" s="18"/>
      <c r="K7" s="87">
        <v>9</v>
      </c>
      <c r="L7" s="88">
        <v>1</v>
      </c>
      <c r="M7" s="18"/>
      <c r="N7" s="85">
        <v>1</v>
      </c>
      <c r="O7" s="86">
        <v>3</v>
      </c>
      <c r="P7" s="18"/>
      <c r="Q7" s="87">
        <v>3</v>
      </c>
      <c r="R7" s="88">
        <v>1</v>
      </c>
      <c r="S7" s="18"/>
      <c r="T7" s="83">
        <v>13</v>
      </c>
      <c r="U7" s="82">
        <v>3</v>
      </c>
      <c r="V7" s="18"/>
      <c r="W7" s="87">
        <v>3</v>
      </c>
      <c r="X7" s="88">
        <v>1</v>
      </c>
      <c r="Z7" s="356">
        <v>350</v>
      </c>
      <c r="AA7" s="355">
        <f>Z7/730</f>
        <v>0.47945205479452052</v>
      </c>
      <c r="AB7" s="18"/>
    </row>
    <row r="8" spans="1:29">
      <c r="A8" s="18"/>
      <c r="B8" s="81">
        <v>0.95</v>
      </c>
      <c r="C8" s="82">
        <v>11.4</v>
      </c>
      <c r="D8" s="18"/>
      <c r="E8" s="83">
        <v>11</v>
      </c>
      <c r="F8" s="84">
        <v>0.91669999999999996</v>
      </c>
      <c r="G8" s="18"/>
      <c r="H8" s="81">
        <v>0.95</v>
      </c>
      <c r="I8" s="82">
        <v>8.5500000000000007</v>
      </c>
      <c r="J8" s="18"/>
      <c r="K8" s="83">
        <v>8</v>
      </c>
      <c r="L8" s="84">
        <v>0.88890000000000002</v>
      </c>
      <c r="M8" s="18"/>
      <c r="N8" s="81">
        <v>0.95</v>
      </c>
      <c r="O8" s="82">
        <v>2.85</v>
      </c>
      <c r="P8" s="18"/>
      <c r="Q8" s="83">
        <v>2</v>
      </c>
      <c r="R8" s="84">
        <v>0.66669999999999996</v>
      </c>
      <c r="S8" s="18"/>
      <c r="T8" s="83">
        <v>12</v>
      </c>
      <c r="U8" s="82">
        <v>2.8</v>
      </c>
      <c r="V8" s="18"/>
      <c r="W8" s="83">
        <v>2</v>
      </c>
      <c r="X8" s="84">
        <v>0.66669999999999996</v>
      </c>
      <c r="AB8" s="18"/>
    </row>
    <row r="9" spans="1:29">
      <c r="A9" s="18"/>
      <c r="B9" s="81">
        <v>0.9</v>
      </c>
      <c r="C9" s="82">
        <v>10.8</v>
      </c>
      <c r="D9" s="18"/>
      <c r="E9" s="83">
        <v>10</v>
      </c>
      <c r="F9" s="84">
        <v>0.83330000000000004</v>
      </c>
      <c r="G9" s="18"/>
      <c r="H9" s="81">
        <v>0.9</v>
      </c>
      <c r="I9" s="82">
        <v>8.1</v>
      </c>
      <c r="J9" s="18"/>
      <c r="K9" s="83">
        <v>7</v>
      </c>
      <c r="L9" s="84">
        <v>0.77780000000000005</v>
      </c>
      <c r="M9" s="18"/>
      <c r="N9" s="81">
        <v>0.9</v>
      </c>
      <c r="O9" s="82">
        <v>2.7</v>
      </c>
      <c r="P9" s="18"/>
      <c r="Q9" s="83">
        <v>1</v>
      </c>
      <c r="R9" s="84">
        <v>0.33329999999999999</v>
      </c>
      <c r="S9" s="18"/>
      <c r="T9" s="83">
        <v>11</v>
      </c>
      <c r="U9" s="82">
        <v>2.5</v>
      </c>
      <c r="V9" s="18"/>
      <c r="W9" s="83">
        <v>1</v>
      </c>
      <c r="X9" s="84">
        <v>0.33329999999999999</v>
      </c>
      <c r="AB9" s="18"/>
    </row>
    <row r="10" spans="1:29">
      <c r="A10" s="18"/>
      <c r="B10" s="81">
        <v>0.85</v>
      </c>
      <c r="C10" s="82">
        <v>10.199999999999999</v>
      </c>
      <c r="D10" s="18"/>
      <c r="E10" s="83">
        <v>9</v>
      </c>
      <c r="F10" s="84">
        <v>0.75</v>
      </c>
      <c r="G10" s="18"/>
      <c r="H10" s="81">
        <v>0.85</v>
      </c>
      <c r="I10" s="82">
        <v>7.65</v>
      </c>
      <c r="J10" s="18"/>
      <c r="K10" s="83">
        <v>6</v>
      </c>
      <c r="L10" s="84">
        <v>0.66669999999999996</v>
      </c>
      <c r="M10" s="18"/>
      <c r="N10" s="81">
        <v>0.85</v>
      </c>
      <c r="O10" s="82">
        <v>2.5499999999999998</v>
      </c>
      <c r="P10" s="18"/>
      <c r="Q10" s="89">
        <v>0.5</v>
      </c>
      <c r="R10" s="90">
        <v>0.16669999999999999</v>
      </c>
      <c r="S10" s="18"/>
      <c r="T10" s="83">
        <v>10</v>
      </c>
      <c r="U10" s="82">
        <v>2.2999999999999998</v>
      </c>
      <c r="V10" s="18"/>
      <c r="W10" s="89">
        <v>0.5</v>
      </c>
      <c r="X10" s="90">
        <v>0.16669999999999999</v>
      </c>
      <c r="AB10" s="18"/>
    </row>
    <row r="11" spans="1:29" ht="15.75">
      <c r="A11" s="18"/>
      <c r="B11" s="81">
        <v>0.8</v>
      </c>
      <c r="C11" s="82">
        <v>9.6</v>
      </c>
      <c r="D11" s="18"/>
      <c r="E11" s="83">
        <v>8</v>
      </c>
      <c r="F11" s="84">
        <v>0.66669999999999996</v>
      </c>
      <c r="G11" s="18"/>
      <c r="H11" s="81">
        <v>0.8</v>
      </c>
      <c r="I11" s="82">
        <v>7.2</v>
      </c>
      <c r="J11" s="18"/>
      <c r="K11" s="83">
        <v>5</v>
      </c>
      <c r="L11" s="84">
        <v>0.55559999999999998</v>
      </c>
      <c r="M11" s="18"/>
      <c r="N11" s="81">
        <v>0.8</v>
      </c>
      <c r="O11" s="82">
        <v>2.4</v>
      </c>
      <c r="P11" s="18"/>
      <c r="Q11" s="18"/>
      <c r="R11" s="18"/>
      <c r="S11" s="18"/>
      <c r="T11" s="83">
        <v>9</v>
      </c>
      <c r="U11" s="82">
        <v>2.1</v>
      </c>
      <c r="V11" s="18"/>
      <c r="W11" s="18"/>
      <c r="X11" s="18"/>
      <c r="Z11" s="1616" t="s">
        <v>1020</v>
      </c>
      <c r="AA11" s="1616"/>
      <c r="AB11" s="1616"/>
      <c r="AC11" s="1616"/>
    </row>
    <row r="12" spans="1:29">
      <c r="A12" s="18"/>
      <c r="B12" s="81">
        <v>0.75</v>
      </c>
      <c r="C12" s="82">
        <v>9</v>
      </c>
      <c r="D12" s="18"/>
      <c r="E12" s="83">
        <v>7</v>
      </c>
      <c r="F12" s="84">
        <v>0.58330000000000004</v>
      </c>
      <c r="G12" s="18"/>
      <c r="H12" s="81">
        <v>0.75</v>
      </c>
      <c r="I12" s="82">
        <v>6.75</v>
      </c>
      <c r="J12" s="18"/>
      <c r="K12" s="83">
        <v>4</v>
      </c>
      <c r="L12" s="84">
        <v>0.44440000000000002</v>
      </c>
      <c r="M12" s="18"/>
      <c r="N12" s="81">
        <v>0.75</v>
      </c>
      <c r="O12" s="82">
        <v>2.25</v>
      </c>
      <c r="P12" s="18"/>
      <c r="Q12" s="79" t="s">
        <v>1021</v>
      </c>
      <c r="R12" s="79"/>
      <c r="S12" s="79"/>
      <c r="T12" s="83">
        <v>8</v>
      </c>
      <c r="U12" s="82">
        <v>1.8</v>
      </c>
      <c r="V12" s="18"/>
      <c r="W12" s="79" t="s">
        <v>1021</v>
      </c>
      <c r="X12" s="79"/>
      <c r="Z12" s="18"/>
      <c r="AA12" s="18"/>
      <c r="AB12" s="18"/>
      <c r="AC12" s="183"/>
    </row>
    <row r="13" spans="1:29">
      <c r="A13" s="18"/>
      <c r="B13" s="81">
        <v>0.7</v>
      </c>
      <c r="C13" s="82">
        <v>8.4</v>
      </c>
      <c r="D13" s="18"/>
      <c r="E13" s="83">
        <v>6</v>
      </c>
      <c r="F13" s="84">
        <v>0.5</v>
      </c>
      <c r="G13" s="18"/>
      <c r="H13" s="81">
        <v>0.7</v>
      </c>
      <c r="I13" s="82">
        <v>6.3</v>
      </c>
      <c r="J13" s="18"/>
      <c r="K13" s="83">
        <v>3</v>
      </c>
      <c r="L13" s="84">
        <v>0.33329999999999999</v>
      </c>
      <c r="M13" s="18"/>
      <c r="N13" s="81">
        <v>0.7</v>
      </c>
      <c r="O13" s="82">
        <v>2.1</v>
      </c>
      <c r="P13" s="18"/>
      <c r="Q13" s="91">
        <v>0</v>
      </c>
      <c r="R13" s="92">
        <f>+Q13/Q$7</f>
        <v>0</v>
      </c>
      <c r="S13" s="18"/>
      <c r="T13" s="83">
        <v>7</v>
      </c>
      <c r="U13" s="82">
        <v>1.6</v>
      </c>
      <c r="V13" s="18"/>
      <c r="W13" s="91">
        <v>0</v>
      </c>
      <c r="X13" s="92">
        <f>+W13/W$7</f>
        <v>0</v>
      </c>
      <c r="Z13" s="1626" t="s">
        <v>1022</v>
      </c>
      <c r="AA13" s="1627"/>
      <c r="AB13" s="1628"/>
      <c r="AC13" s="183"/>
    </row>
    <row r="14" spans="1:29">
      <c r="A14" s="18"/>
      <c r="B14" s="81">
        <v>0.65</v>
      </c>
      <c r="C14" s="82">
        <v>7.8</v>
      </c>
      <c r="D14" s="18"/>
      <c r="E14" s="83">
        <v>5</v>
      </c>
      <c r="F14" s="84">
        <v>0.41670000000000001</v>
      </c>
      <c r="G14" s="18"/>
      <c r="H14" s="81">
        <v>0.65</v>
      </c>
      <c r="I14" s="82">
        <v>5.85</v>
      </c>
      <c r="J14" s="18"/>
      <c r="K14" s="83">
        <v>2</v>
      </c>
      <c r="L14" s="84">
        <v>0.22220000000000001</v>
      </c>
      <c r="M14" s="18"/>
      <c r="N14" s="81">
        <v>0.65</v>
      </c>
      <c r="O14" s="82">
        <v>1.95</v>
      </c>
      <c r="P14" s="18"/>
      <c r="Q14" s="18"/>
      <c r="R14" s="18"/>
      <c r="S14" s="18"/>
      <c r="T14" s="83">
        <v>6</v>
      </c>
      <c r="U14" s="82">
        <v>1.4</v>
      </c>
      <c r="V14" s="18"/>
      <c r="W14" s="18"/>
      <c r="X14" s="18"/>
      <c r="Z14" s="1629" t="s">
        <v>1023</v>
      </c>
      <c r="AA14" s="1630"/>
      <c r="AB14" s="1631"/>
      <c r="AC14" s="183"/>
    </row>
    <row r="15" spans="1:29">
      <c r="A15" s="18"/>
      <c r="B15" s="81">
        <v>0.6</v>
      </c>
      <c r="C15" s="82">
        <v>7.2</v>
      </c>
      <c r="D15" s="18"/>
      <c r="E15" s="83">
        <v>4</v>
      </c>
      <c r="F15" s="84">
        <v>0.33329999999999999</v>
      </c>
      <c r="G15" s="18"/>
      <c r="H15" s="81">
        <v>0.6</v>
      </c>
      <c r="I15" s="82">
        <v>5.4</v>
      </c>
      <c r="J15" s="18"/>
      <c r="K15" s="83">
        <v>1</v>
      </c>
      <c r="L15" s="84">
        <v>0.1111</v>
      </c>
      <c r="M15" s="18"/>
      <c r="N15" s="81">
        <v>0.6</v>
      </c>
      <c r="O15" s="82">
        <v>1.8</v>
      </c>
      <c r="P15" s="18"/>
      <c r="Q15" s="18"/>
      <c r="R15" s="18"/>
      <c r="S15" s="18"/>
      <c r="T15" s="83">
        <v>5</v>
      </c>
      <c r="U15" s="82">
        <v>1.2</v>
      </c>
      <c r="V15" s="18"/>
      <c r="W15" s="18"/>
      <c r="X15" s="18"/>
      <c r="Z15" s="18"/>
      <c r="AA15" s="18"/>
      <c r="AB15" s="18"/>
      <c r="AC15" s="183"/>
    </row>
    <row r="16" spans="1:29">
      <c r="A16" s="18"/>
      <c r="B16" s="81">
        <v>0.55000000000000004</v>
      </c>
      <c r="C16" s="82">
        <v>6.6</v>
      </c>
      <c r="D16" s="18"/>
      <c r="E16" s="83">
        <v>3</v>
      </c>
      <c r="F16" s="84">
        <v>0.25</v>
      </c>
      <c r="G16" s="18"/>
      <c r="H16" s="81">
        <v>0.55000000000000004</v>
      </c>
      <c r="I16" s="82">
        <v>4.95</v>
      </c>
      <c r="J16" s="18"/>
      <c r="K16" s="89">
        <v>0.5</v>
      </c>
      <c r="L16" s="90">
        <v>5.5599999999999997E-2</v>
      </c>
      <c r="M16" s="18"/>
      <c r="N16" s="81">
        <v>0.55000000000000004</v>
      </c>
      <c r="O16" s="82">
        <v>1.65</v>
      </c>
      <c r="P16" s="18"/>
      <c r="Q16" s="18"/>
      <c r="R16" s="18"/>
      <c r="S16" s="18"/>
      <c r="T16" s="83">
        <v>4</v>
      </c>
      <c r="U16" s="82">
        <v>0.9</v>
      </c>
      <c r="V16" s="18"/>
      <c r="W16" s="18"/>
      <c r="X16" s="18"/>
      <c r="Z16" s="79" t="s">
        <v>1024</v>
      </c>
      <c r="AA16" s="79"/>
      <c r="AB16" s="79"/>
      <c r="AC16" s="183"/>
    </row>
    <row r="17" spans="1:29">
      <c r="A17" s="18"/>
      <c r="B17" s="81">
        <v>0.5</v>
      </c>
      <c r="C17" s="82">
        <v>6</v>
      </c>
      <c r="D17" s="18"/>
      <c r="E17" s="83">
        <v>2</v>
      </c>
      <c r="F17" s="84">
        <v>0.16669999999999999</v>
      </c>
      <c r="G17" s="18"/>
      <c r="H17" s="81">
        <v>0.5</v>
      </c>
      <c r="I17" s="82">
        <v>4.5</v>
      </c>
      <c r="J17" s="18"/>
      <c r="K17" s="18"/>
      <c r="L17" s="18"/>
      <c r="M17" s="18"/>
      <c r="N17" s="81">
        <v>0.5</v>
      </c>
      <c r="O17" s="82">
        <v>1.5</v>
      </c>
      <c r="P17" s="18"/>
      <c r="Q17" s="18"/>
      <c r="R17" s="18"/>
      <c r="S17" s="18"/>
      <c r="T17" s="83">
        <v>3</v>
      </c>
      <c r="U17" s="82">
        <v>0.7</v>
      </c>
      <c r="V17" s="18"/>
      <c r="W17" s="18"/>
      <c r="X17" s="18"/>
      <c r="Z17" s="658">
        <v>0.5</v>
      </c>
      <c r="AA17" s="97">
        <f>(Z17*173.33)/12</f>
        <v>7.2220833333333339</v>
      </c>
      <c r="AB17" s="18"/>
      <c r="AC17" s="183"/>
    </row>
    <row r="18" spans="1:29">
      <c r="A18" s="18"/>
      <c r="B18" s="81">
        <v>0.45</v>
      </c>
      <c r="C18" s="82">
        <v>5.4</v>
      </c>
      <c r="D18" s="18"/>
      <c r="E18" s="83">
        <v>1</v>
      </c>
      <c r="F18" s="84">
        <v>8.3299999999999999E-2</v>
      </c>
      <c r="G18" s="18"/>
      <c r="H18" s="81">
        <v>0.45</v>
      </c>
      <c r="I18" s="82">
        <v>4.05</v>
      </c>
      <c r="J18" s="18"/>
      <c r="K18" s="79" t="s">
        <v>1025</v>
      </c>
      <c r="L18" s="79"/>
      <c r="M18" s="79"/>
      <c r="N18" s="81">
        <v>0.45</v>
      </c>
      <c r="O18" s="82">
        <v>1.35</v>
      </c>
      <c r="P18" s="18"/>
      <c r="Q18" s="18"/>
      <c r="R18" s="18"/>
      <c r="S18" s="18"/>
      <c r="T18" s="83">
        <v>2</v>
      </c>
      <c r="U18" s="82">
        <v>0.5</v>
      </c>
      <c r="V18" s="18"/>
      <c r="W18" s="18"/>
      <c r="X18" s="18"/>
      <c r="AB18" s="18"/>
    </row>
    <row r="19" spans="1:29">
      <c r="A19" s="18"/>
      <c r="B19" s="81">
        <v>0.4</v>
      </c>
      <c r="C19" s="82">
        <v>4.8</v>
      </c>
      <c r="D19" s="18"/>
      <c r="E19" s="89">
        <v>0.5</v>
      </c>
      <c r="F19" s="90">
        <v>4.1700000000000001E-2</v>
      </c>
      <c r="G19" s="18"/>
      <c r="H19" s="81">
        <v>0.4</v>
      </c>
      <c r="I19" s="82">
        <v>3.6</v>
      </c>
      <c r="J19" s="18"/>
      <c r="K19" s="93">
        <v>2</v>
      </c>
      <c r="L19" s="92">
        <f>+K19/K$7</f>
        <v>0.22222222222222221</v>
      </c>
      <c r="M19" s="18"/>
      <c r="N19" s="81">
        <v>0.4</v>
      </c>
      <c r="O19" s="82">
        <v>1.2</v>
      </c>
      <c r="P19" s="18"/>
      <c r="Q19" s="18"/>
      <c r="R19" s="18"/>
      <c r="S19" s="18"/>
      <c r="T19" s="89">
        <v>1</v>
      </c>
      <c r="U19" s="94">
        <v>0.2</v>
      </c>
      <c r="V19" s="18"/>
      <c r="W19" s="18"/>
      <c r="X19" s="18"/>
      <c r="AB19" s="18"/>
    </row>
    <row r="20" spans="1:29">
      <c r="A20" s="18"/>
      <c r="B20" s="81">
        <v>0.35</v>
      </c>
      <c r="C20" s="82">
        <v>4.2</v>
      </c>
      <c r="D20" s="18"/>
      <c r="E20" s="18"/>
      <c r="F20" s="18"/>
      <c r="G20" s="18"/>
      <c r="H20" s="81">
        <v>0.35</v>
      </c>
      <c r="I20" s="82">
        <v>3.15</v>
      </c>
      <c r="J20" s="18"/>
      <c r="K20" s="18"/>
      <c r="L20" s="18"/>
      <c r="M20" s="18"/>
      <c r="N20" s="81">
        <v>0.35</v>
      </c>
      <c r="O20" s="82">
        <v>1.05</v>
      </c>
      <c r="P20" s="18"/>
      <c r="Q20" s="18"/>
      <c r="R20" s="18"/>
      <c r="S20" s="18"/>
      <c r="T20" s="18"/>
      <c r="U20" s="18"/>
      <c r="V20" s="18"/>
      <c r="W20" s="18"/>
      <c r="X20" s="18"/>
      <c r="AB20" s="18"/>
    </row>
    <row r="21" spans="1:29">
      <c r="A21" s="18"/>
      <c r="B21" s="81">
        <v>0.3</v>
      </c>
      <c r="C21" s="82">
        <v>3.6</v>
      </c>
      <c r="D21" s="18"/>
      <c r="E21" s="79" t="s">
        <v>1026</v>
      </c>
      <c r="F21" s="79"/>
      <c r="G21" s="79"/>
      <c r="H21" s="81">
        <v>0.3</v>
      </c>
      <c r="I21" s="82">
        <v>2.7</v>
      </c>
      <c r="J21" s="18"/>
      <c r="K21" s="18"/>
      <c r="L21" s="18"/>
      <c r="M21" s="18"/>
      <c r="N21" s="81">
        <v>0.3</v>
      </c>
      <c r="O21" s="82">
        <v>0.9</v>
      </c>
      <c r="P21" s="18"/>
      <c r="Q21" s="18"/>
      <c r="R21" s="18"/>
      <c r="S21" s="18"/>
      <c r="T21" s="79" t="s">
        <v>1027</v>
      </c>
      <c r="U21" s="79"/>
      <c r="V21" s="79"/>
      <c r="W21" s="79"/>
      <c r="X21" s="18"/>
      <c r="AB21" s="79"/>
    </row>
    <row r="22" spans="1:29">
      <c r="A22" s="18"/>
      <c r="B22" s="81">
        <v>0.25</v>
      </c>
      <c r="C22" s="82">
        <v>3</v>
      </c>
      <c r="D22" s="18"/>
      <c r="E22" s="95">
        <v>0</v>
      </c>
      <c r="F22" s="92">
        <f>+E22/E$7</f>
        <v>0</v>
      </c>
      <c r="G22" s="18"/>
      <c r="H22" s="81">
        <v>0.25</v>
      </c>
      <c r="I22" s="82">
        <v>2.25</v>
      </c>
      <c r="J22" s="18"/>
      <c r="K22" s="18"/>
      <c r="L22" s="18"/>
      <c r="M22" s="18"/>
      <c r="N22" s="81">
        <v>0.25</v>
      </c>
      <c r="O22" s="82">
        <v>0.75</v>
      </c>
      <c r="P22" s="18"/>
      <c r="Q22" s="18"/>
      <c r="R22" s="18"/>
      <c r="S22" s="18"/>
      <c r="T22" s="96">
        <v>0</v>
      </c>
      <c r="U22" s="176">
        <f>T22/4.345</f>
        <v>0</v>
      </c>
      <c r="V22" s="18"/>
      <c r="W22" s="18"/>
      <c r="X22" s="18"/>
      <c r="AB22" s="18"/>
    </row>
    <row r="23" spans="1:29">
      <c r="A23" s="18"/>
      <c r="B23" s="81">
        <v>0.2</v>
      </c>
      <c r="C23" s="82">
        <v>2.4</v>
      </c>
      <c r="D23" s="18"/>
      <c r="E23" s="18"/>
      <c r="F23" s="18"/>
      <c r="G23" s="18"/>
      <c r="H23" s="81">
        <v>0.2</v>
      </c>
      <c r="I23" s="82">
        <v>1.8</v>
      </c>
      <c r="J23" s="18"/>
      <c r="K23" s="18"/>
      <c r="L23" s="18"/>
      <c r="M23" s="18"/>
      <c r="N23" s="81">
        <v>0.2</v>
      </c>
      <c r="O23" s="82">
        <v>0.6</v>
      </c>
      <c r="P23" s="18"/>
      <c r="Q23" s="18"/>
      <c r="R23" s="18"/>
      <c r="S23" s="18"/>
      <c r="T23" s="18"/>
      <c r="U23" s="18"/>
      <c r="V23" s="18"/>
      <c r="W23" s="18"/>
      <c r="X23" s="18"/>
    </row>
    <row r="24" spans="1:29">
      <c r="A24" s="18"/>
      <c r="B24" s="81">
        <v>0.15</v>
      </c>
      <c r="C24" s="82">
        <v>1.8</v>
      </c>
      <c r="D24" s="18"/>
      <c r="E24" s="18"/>
      <c r="F24" s="18"/>
      <c r="G24" s="18"/>
      <c r="H24" s="81">
        <v>0.15</v>
      </c>
      <c r="I24" s="82">
        <v>1.35</v>
      </c>
      <c r="J24" s="18"/>
      <c r="K24" s="18"/>
      <c r="L24" s="18"/>
      <c r="M24" s="18"/>
      <c r="N24" s="81">
        <v>0.15</v>
      </c>
      <c r="O24" s="82">
        <v>0.45</v>
      </c>
      <c r="P24" s="18"/>
      <c r="Q24" s="18"/>
      <c r="R24" s="18"/>
      <c r="S24" s="18"/>
      <c r="T24" s="18"/>
      <c r="U24" s="18"/>
      <c r="V24" s="18"/>
      <c r="W24" s="18"/>
      <c r="X24" s="18"/>
    </row>
    <row r="25" spans="1:29">
      <c r="A25" s="18"/>
      <c r="B25" s="81">
        <v>0.1</v>
      </c>
      <c r="C25" s="82">
        <v>1.2</v>
      </c>
      <c r="D25" s="18"/>
      <c r="E25" s="18"/>
      <c r="F25" s="18"/>
      <c r="G25" s="18"/>
      <c r="H25" s="81">
        <v>0.1</v>
      </c>
      <c r="I25" s="82">
        <v>0.9</v>
      </c>
      <c r="J25" s="18"/>
      <c r="K25" s="18"/>
      <c r="L25" s="18"/>
      <c r="M25" s="18"/>
      <c r="N25" s="81">
        <v>0.1</v>
      </c>
      <c r="O25" s="82">
        <v>0.3</v>
      </c>
      <c r="P25" s="18"/>
      <c r="Q25" s="18"/>
      <c r="R25" s="18"/>
      <c r="S25" s="18"/>
      <c r="T25" s="175"/>
      <c r="U25" s="18"/>
      <c r="V25" s="18"/>
      <c r="W25" s="18"/>
      <c r="X25" s="18"/>
    </row>
    <row r="26" spans="1:29">
      <c r="A26" s="18"/>
      <c r="B26" s="81">
        <v>0.08</v>
      </c>
      <c r="C26" s="82">
        <v>0.96</v>
      </c>
      <c r="D26" s="18"/>
      <c r="E26" s="18"/>
      <c r="F26" s="18"/>
      <c r="G26" s="18"/>
      <c r="H26" s="81">
        <v>0.08</v>
      </c>
      <c r="I26" s="82">
        <v>0.72</v>
      </c>
      <c r="J26" s="18"/>
      <c r="K26" s="18"/>
      <c r="L26" s="18"/>
      <c r="M26" s="18"/>
      <c r="N26" s="81">
        <v>0.08</v>
      </c>
      <c r="O26" s="82">
        <v>0.24</v>
      </c>
      <c r="P26" s="18"/>
      <c r="Q26" s="18"/>
      <c r="R26" s="18"/>
      <c r="S26" s="18"/>
      <c r="T26" s="18"/>
      <c r="U26" s="18"/>
      <c r="V26" s="18"/>
      <c r="W26" s="18"/>
      <c r="X26" s="18"/>
    </row>
    <row r="27" spans="1:29">
      <c r="A27" s="18"/>
      <c r="B27" s="81">
        <v>0.05</v>
      </c>
      <c r="C27" s="82">
        <v>0.6</v>
      </c>
      <c r="D27" s="18"/>
      <c r="E27" s="18"/>
      <c r="F27" s="18"/>
      <c r="G27" s="18"/>
      <c r="H27" s="81">
        <v>0.05</v>
      </c>
      <c r="I27" s="82">
        <v>0.45</v>
      </c>
      <c r="J27" s="18"/>
      <c r="K27" s="18"/>
      <c r="L27" s="18"/>
      <c r="M27" s="18"/>
      <c r="N27" s="81">
        <v>0.05</v>
      </c>
      <c r="O27" s="82">
        <v>0.15</v>
      </c>
      <c r="P27" s="18"/>
      <c r="Q27" s="18"/>
      <c r="R27" s="18"/>
      <c r="S27" s="18"/>
      <c r="T27" s="18"/>
      <c r="U27" s="18"/>
      <c r="V27" s="18"/>
      <c r="W27" s="18"/>
      <c r="X27" s="18"/>
    </row>
    <row r="28" spans="1:29">
      <c r="A28" s="18"/>
      <c r="B28" s="81">
        <v>0.03</v>
      </c>
      <c r="C28" s="82">
        <v>0.36</v>
      </c>
      <c r="D28" s="18"/>
      <c r="E28" s="18"/>
      <c r="F28" s="18"/>
      <c r="G28" s="18"/>
      <c r="H28" s="81">
        <v>0.03</v>
      </c>
      <c r="I28" s="82">
        <v>0.27</v>
      </c>
      <c r="J28" s="18"/>
      <c r="K28" s="18"/>
      <c r="L28" s="18"/>
      <c r="M28" s="18"/>
      <c r="N28" s="81">
        <v>0.03</v>
      </c>
      <c r="O28" s="82">
        <v>0.09</v>
      </c>
      <c r="P28" s="18"/>
      <c r="Q28" s="18"/>
      <c r="R28" s="18"/>
      <c r="S28" s="18"/>
      <c r="T28" s="18"/>
      <c r="U28" s="18"/>
      <c r="V28" s="18"/>
      <c r="W28" s="18"/>
      <c r="X28" s="18"/>
    </row>
    <row r="29" spans="1:29">
      <c r="A29" s="18"/>
      <c r="B29" s="98">
        <v>0.02</v>
      </c>
      <c r="C29" s="94">
        <v>0.24</v>
      </c>
      <c r="D29" s="18"/>
      <c r="E29" s="18"/>
      <c r="F29" s="18"/>
      <c r="G29" s="18"/>
      <c r="H29" s="98">
        <v>0.02</v>
      </c>
      <c r="I29" s="94">
        <v>0.18</v>
      </c>
      <c r="J29" s="18"/>
      <c r="K29" s="18"/>
      <c r="L29" s="18"/>
      <c r="M29" s="18"/>
      <c r="N29" s="98">
        <v>0.02</v>
      </c>
      <c r="O29" s="94">
        <v>0.06</v>
      </c>
      <c r="P29" s="18"/>
      <c r="Q29" s="18"/>
      <c r="R29" s="18"/>
      <c r="S29" s="18"/>
      <c r="T29" s="18"/>
      <c r="U29" s="18"/>
      <c r="V29" s="18"/>
      <c r="W29" s="18"/>
      <c r="X29" s="18"/>
    </row>
    <row r="30" spans="1:29">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9">
      <c r="A31" s="18"/>
      <c r="B31" s="18"/>
      <c r="C31" s="18"/>
      <c r="D31" s="18"/>
      <c r="E31" s="18"/>
      <c r="F31" s="18"/>
      <c r="G31" s="18"/>
      <c r="H31" s="79" t="s">
        <v>1028</v>
      </c>
      <c r="I31" s="79"/>
      <c r="J31" s="79"/>
      <c r="K31" s="18"/>
      <c r="L31" s="18"/>
      <c r="M31" s="18"/>
      <c r="N31" s="79" t="s">
        <v>1029</v>
      </c>
      <c r="O31" s="79"/>
      <c r="P31" s="79"/>
      <c r="Q31" s="79"/>
      <c r="R31" s="18"/>
      <c r="S31" s="18"/>
      <c r="T31" s="18"/>
      <c r="U31" s="18"/>
      <c r="V31" s="18"/>
      <c r="W31" s="18"/>
      <c r="X31" s="18"/>
    </row>
    <row r="32" spans="1:29">
      <c r="A32" s="18"/>
      <c r="B32" s="79" t="s">
        <v>1030</v>
      </c>
      <c r="C32" s="79"/>
      <c r="D32" s="79"/>
      <c r="E32" s="18"/>
      <c r="F32" s="18"/>
      <c r="G32" s="18"/>
      <c r="H32" s="99">
        <v>0</v>
      </c>
      <c r="I32" s="97">
        <f>+H32*K$7</f>
        <v>0</v>
      </c>
      <c r="J32" s="18"/>
      <c r="K32" s="18"/>
      <c r="L32" s="18"/>
      <c r="M32" s="18"/>
      <c r="N32" s="100">
        <v>0</v>
      </c>
      <c r="O32" s="97">
        <f>+N32*Q$7</f>
        <v>0</v>
      </c>
      <c r="P32" s="18"/>
      <c r="Q32" s="18"/>
      <c r="R32" s="18"/>
      <c r="S32" s="18"/>
      <c r="T32" s="18"/>
      <c r="U32" s="18"/>
      <c r="V32" s="18"/>
      <c r="W32" s="18"/>
      <c r="X32" s="18"/>
    </row>
    <row r="33" spans="1:24">
      <c r="A33" s="18"/>
      <c r="B33" s="101">
        <v>0</v>
      </c>
      <c r="C33" s="97">
        <f>+B33*E$7</f>
        <v>0</v>
      </c>
      <c r="D33" s="18"/>
      <c r="E33" s="18"/>
      <c r="F33" s="18"/>
      <c r="G33" s="18"/>
      <c r="H33" s="18"/>
      <c r="I33" s="18"/>
      <c r="J33" s="18"/>
      <c r="K33" s="18"/>
      <c r="L33" s="18"/>
      <c r="M33" s="18"/>
      <c r="N33" s="18"/>
      <c r="O33" s="18"/>
      <c r="P33" s="18"/>
      <c r="Q33" s="18"/>
      <c r="R33" s="18"/>
      <c r="S33" s="18"/>
      <c r="T33" s="18"/>
      <c r="U33" s="18"/>
      <c r="V33" s="18"/>
      <c r="W33" s="18"/>
      <c r="X33" s="18"/>
    </row>
  </sheetData>
  <mergeCells count="35">
    <mergeCell ref="Z4:AB4"/>
    <mergeCell ref="W4:X4"/>
    <mergeCell ref="Q5:R5"/>
    <mergeCell ref="T5:U5"/>
    <mergeCell ref="W5:X5"/>
    <mergeCell ref="Q4:R4"/>
    <mergeCell ref="T4:U4"/>
    <mergeCell ref="B5:C5"/>
    <mergeCell ref="E5:F5"/>
    <mergeCell ref="H5:I5"/>
    <mergeCell ref="K5:L5"/>
    <mergeCell ref="N5:O5"/>
    <mergeCell ref="N3:O3"/>
    <mergeCell ref="Z1:AB1"/>
    <mergeCell ref="A1:F1"/>
    <mergeCell ref="H1:L1"/>
    <mergeCell ref="N1:R1"/>
    <mergeCell ref="T1:X1"/>
    <mergeCell ref="Z3:AB3"/>
    <mergeCell ref="Z11:AC11"/>
    <mergeCell ref="Z13:AB13"/>
    <mergeCell ref="Z14:AB14"/>
    <mergeCell ref="B2:L2"/>
    <mergeCell ref="Q3:R3"/>
    <mergeCell ref="T3:U3"/>
    <mergeCell ref="W3:X3"/>
    <mergeCell ref="B4:C4"/>
    <mergeCell ref="E4:F4"/>
    <mergeCell ref="H4:I4"/>
    <mergeCell ref="K4:L4"/>
    <mergeCell ref="N4:O4"/>
    <mergeCell ref="B3:C3"/>
    <mergeCell ref="E3:F3"/>
    <mergeCell ref="H3:I3"/>
    <mergeCell ref="K3:L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50860-B774-4DA7-BE0F-09A4BA56CCA9}">
  <sheetPr codeName="Sheet10"/>
  <dimension ref="B2:F67"/>
  <sheetViews>
    <sheetView topLeftCell="A19" workbookViewId="0">
      <selection activeCell="A43" sqref="A43:XFD43"/>
    </sheetView>
  </sheetViews>
  <sheetFormatPr defaultColWidth="16.7109375" defaultRowHeight="15"/>
  <cols>
    <col min="1" max="1" width="2.85546875" customWidth="1"/>
    <col min="2" max="2" width="34.42578125" bestFit="1" customWidth="1"/>
  </cols>
  <sheetData>
    <row r="2" spans="2:5" ht="15.75">
      <c r="B2" s="683"/>
      <c r="C2" s="1500" t="s">
        <v>346</v>
      </c>
      <c r="D2" s="1501"/>
    </row>
    <row r="3" spans="2:5">
      <c r="B3" s="684" t="s">
        <v>1031</v>
      </c>
      <c r="C3" s="541">
        <v>1</v>
      </c>
      <c r="D3" s="685">
        <v>2</v>
      </c>
      <c r="E3" t="s">
        <v>1032</v>
      </c>
    </row>
    <row r="4" spans="2:5">
      <c r="B4" s="684" t="s">
        <v>173</v>
      </c>
      <c r="C4" s="727">
        <v>3570</v>
      </c>
      <c r="D4" s="726">
        <f>C4*2</f>
        <v>7140</v>
      </c>
    </row>
    <row r="5" spans="2:5">
      <c r="B5" s="684" t="s">
        <v>1033</v>
      </c>
      <c r="C5" s="727">
        <f>3570+100</f>
        <v>3670</v>
      </c>
      <c r="D5" s="726">
        <f t="shared" ref="D5:D21" si="0">C5*2</f>
        <v>7340</v>
      </c>
    </row>
    <row r="6" spans="2:5">
      <c r="B6" s="684" t="s">
        <v>1034</v>
      </c>
      <c r="C6" s="727">
        <f>3570+125</f>
        <v>3695</v>
      </c>
      <c r="D6" s="726">
        <f t="shared" si="0"/>
        <v>7390</v>
      </c>
    </row>
    <row r="7" spans="2:5">
      <c r="B7" s="684" t="s">
        <v>1035</v>
      </c>
      <c r="C7" s="727">
        <f>3570+450</f>
        <v>4020</v>
      </c>
      <c r="D7" s="726">
        <f t="shared" si="0"/>
        <v>8040</v>
      </c>
    </row>
    <row r="8" spans="2:5">
      <c r="B8" s="684" t="s">
        <v>1036</v>
      </c>
      <c r="C8" s="727">
        <f>3570+200</f>
        <v>3770</v>
      </c>
      <c r="D8" s="726">
        <f t="shared" si="0"/>
        <v>7540</v>
      </c>
    </row>
    <row r="9" spans="2:5">
      <c r="B9" s="684" t="s">
        <v>1037</v>
      </c>
      <c r="C9" s="727">
        <f>3570+125</f>
        <v>3695</v>
      </c>
      <c r="D9" s="726">
        <f t="shared" si="0"/>
        <v>7390</v>
      </c>
    </row>
    <row r="10" spans="2:5" ht="26.25">
      <c r="B10" s="684" t="s">
        <v>1038</v>
      </c>
      <c r="C10" s="727">
        <f>3570+50</f>
        <v>3620</v>
      </c>
      <c r="D10" s="726">
        <f t="shared" si="0"/>
        <v>7240</v>
      </c>
    </row>
    <row r="11" spans="2:5" ht="26.25">
      <c r="B11" s="684" t="s">
        <v>1039</v>
      </c>
      <c r="C11" s="727">
        <f>3570+350</f>
        <v>3920</v>
      </c>
      <c r="D11" s="726">
        <f t="shared" si="0"/>
        <v>7840</v>
      </c>
    </row>
    <row r="12" spans="2:5" ht="26.25">
      <c r="B12" s="684" t="s">
        <v>1040</v>
      </c>
      <c r="C12" s="727">
        <f>3570+50</f>
        <v>3620</v>
      </c>
      <c r="D12" s="726">
        <f t="shared" si="0"/>
        <v>7240</v>
      </c>
    </row>
    <row r="13" spans="2:5">
      <c r="B13" s="684" t="s">
        <v>1041</v>
      </c>
      <c r="C13" s="727">
        <f>3570+175</f>
        <v>3745</v>
      </c>
      <c r="D13" s="726">
        <f t="shared" si="0"/>
        <v>7490</v>
      </c>
    </row>
    <row r="14" spans="2:5">
      <c r="B14" s="687" t="s">
        <v>1042</v>
      </c>
      <c r="C14" s="727">
        <v>5363</v>
      </c>
      <c r="D14" s="726">
        <f t="shared" si="0"/>
        <v>10726</v>
      </c>
    </row>
    <row r="15" spans="2:5">
      <c r="B15" s="687" t="s">
        <v>1043</v>
      </c>
      <c r="C15" s="727">
        <v>7763</v>
      </c>
      <c r="D15" s="726">
        <f t="shared" si="0"/>
        <v>15526</v>
      </c>
    </row>
    <row r="16" spans="2:5">
      <c r="B16" s="687" t="s">
        <v>1044</v>
      </c>
      <c r="C16" s="727">
        <v>8263</v>
      </c>
      <c r="D16" s="726">
        <f t="shared" si="0"/>
        <v>16526</v>
      </c>
    </row>
    <row r="17" spans="2:5">
      <c r="B17" s="687" t="s">
        <v>1045</v>
      </c>
      <c r="C17" s="727">
        <v>5993</v>
      </c>
      <c r="D17" s="726">
        <f t="shared" si="0"/>
        <v>11986</v>
      </c>
    </row>
    <row r="18" spans="2:5">
      <c r="B18" s="687" t="s">
        <v>1046</v>
      </c>
      <c r="C18" s="727">
        <v>5963</v>
      </c>
      <c r="D18" s="726">
        <f t="shared" si="0"/>
        <v>11926</v>
      </c>
    </row>
    <row r="19" spans="2:5">
      <c r="B19" s="687" t="s">
        <v>1047</v>
      </c>
      <c r="C19" s="727">
        <v>5813</v>
      </c>
      <c r="D19" s="726">
        <f t="shared" si="0"/>
        <v>11626</v>
      </c>
    </row>
    <row r="20" spans="2:5">
      <c r="B20" s="687" t="s">
        <v>1048</v>
      </c>
      <c r="C20" s="727">
        <v>5663</v>
      </c>
      <c r="D20" s="726">
        <f t="shared" si="0"/>
        <v>11326</v>
      </c>
    </row>
    <row r="21" spans="2:5">
      <c r="B21" s="687" t="s">
        <v>1049</v>
      </c>
      <c r="C21" s="727">
        <v>5863</v>
      </c>
      <c r="D21" s="726">
        <f t="shared" si="0"/>
        <v>11726</v>
      </c>
    </row>
    <row r="23" spans="2:5" s="19" customFormat="1" ht="15.75">
      <c r="B23" s="683"/>
      <c r="C23" s="1500" t="s">
        <v>315</v>
      </c>
      <c r="D23" s="1501"/>
    </row>
    <row r="24" spans="2:5">
      <c r="B24" s="684" t="s">
        <v>1031</v>
      </c>
      <c r="C24" s="730">
        <v>1</v>
      </c>
      <c r="D24" s="685">
        <v>2</v>
      </c>
      <c r="E24" t="s">
        <v>1032</v>
      </c>
    </row>
    <row r="25" spans="2:5">
      <c r="B25" s="729" t="s">
        <v>173</v>
      </c>
      <c r="C25" s="728">
        <v>5570</v>
      </c>
      <c r="D25" s="686">
        <f>C25*2</f>
        <v>11140</v>
      </c>
    </row>
    <row r="26" spans="2:5">
      <c r="B26" s="684" t="s">
        <v>1033</v>
      </c>
      <c r="C26" s="727">
        <f>5570+100</f>
        <v>5670</v>
      </c>
      <c r="D26" s="726">
        <f t="shared" ref="D26:D34" si="1">C26*2</f>
        <v>11340</v>
      </c>
    </row>
    <row r="27" spans="2:5">
      <c r="B27" s="684" t="s">
        <v>1034</v>
      </c>
      <c r="C27" s="727">
        <f>5570+125</f>
        <v>5695</v>
      </c>
      <c r="D27" s="726">
        <f t="shared" si="1"/>
        <v>11390</v>
      </c>
    </row>
    <row r="28" spans="2:5">
      <c r="B28" s="684" t="s">
        <v>1035</v>
      </c>
      <c r="C28" s="727">
        <f>5570+450</f>
        <v>6020</v>
      </c>
      <c r="D28" s="726">
        <f t="shared" si="1"/>
        <v>12040</v>
      </c>
    </row>
    <row r="29" spans="2:5">
      <c r="B29" s="684" t="s">
        <v>1036</v>
      </c>
      <c r="C29" s="727">
        <f>5570+200</f>
        <v>5770</v>
      </c>
      <c r="D29" s="726">
        <f t="shared" si="1"/>
        <v>11540</v>
      </c>
    </row>
    <row r="30" spans="2:5">
      <c r="B30" s="684" t="s">
        <v>1037</v>
      </c>
      <c r="C30" s="727">
        <f>5570+125</f>
        <v>5695</v>
      </c>
      <c r="D30" s="726">
        <f t="shared" si="1"/>
        <v>11390</v>
      </c>
    </row>
    <row r="31" spans="2:5" ht="26.25">
      <c r="B31" s="684" t="s">
        <v>1038</v>
      </c>
      <c r="C31" s="727">
        <f>5570+50</f>
        <v>5620</v>
      </c>
      <c r="D31" s="726">
        <f t="shared" si="1"/>
        <v>11240</v>
      </c>
    </row>
    <row r="32" spans="2:5" ht="26.25">
      <c r="B32" s="684" t="s">
        <v>1039</v>
      </c>
      <c r="C32" s="727">
        <f>5570+350</f>
        <v>5920</v>
      </c>
      <c r="D32" s="726">
        <f t="shared" si="1"/>
        <v>11840</v>
      </c>
    </row>
    <row r="33" spans="2:6" ht="26.25">
      <c r="B33" s="684" t="s">
        <v>1040</v>
      </c>
      <c r="C33" s="727">
        <f>5570+50</f>
        <v>5620</v>
      </c>
      <c r="D33" s="726">
        <f t="shared" si="1"/>
        <v>11240</v>
      </c>
    </row>
    <row r="34" spans="2:6">
      <c r="B34" s="684" t="s">
        <v>1041</v>
      </c>
      <c r="C34" s="727">
        <f>5570+175</f>
        <v>5745</v>
      </c>
      <c r="D34" s="726">
        <f t="shared" si="1"/>
        <v>11490</v>
      </c>
    </row>
    <row r="35" spans="2:6">
      <c r="B35" s="687" t="s">
        <v>1042</v>
      </c>
      <c r="C35" s="359">
        <v>10723</v>
      </c>
      <c r="D35" s="686">
        <f>C35*2</f>
        <v>21446</v>
      </c>
    </row>
    <row r="36" spans="2:6">
      <c r="B36" s="687" t="s">
        <v>1050</v>
      </c>
      <c r="C36" s="359">
        <v>13123</v>
      </c>
      <c r="D36" s="686">
        <f t="shared" ref="D36" si="2">C36*2</f>
        <v>26246</v>
      </c>
    </row>
    <row r="37" spans="2:6">
      <c r="B37" s="687" t="s">
        <v>1044</v>
      </c>
      <c r="C37" s="359">
        <v>13623</v>
      </c>
      <c r="D37" s="686">
        <f t="shared" ref="D37:D42" si="3">C37*2</f>
        <v>27246</v>
      </c>
    </row>
    <row r="38" spans="2:6">
      <c r="B38" s="687" t="s">
        <v>1045</v>
      </c>
      <c r="C38" s="359">
        <v>12393</v>
      </c>
      <c r="D38" s="686">
        <f t="shared" si="3"/>
        <v>24786</v>
      </c>
    </row>
    <row r="39" spans="2:6">
      <c r="B39" s="687" t="s">
        <v>1046</v>
      </c>
      <c r="C39" s="359">
        <v>11322</v>
      </c>
      <c r="D39" s="686">
        <f t="shared" si="3"/>
        <v>22644</v>
      </c>
    </row>
    <row r="40" spans="2:6">
      <c r="B40" s="687" t="s">
        <v>1047</v>
      </c>
      <c r="C40" s="359">
        <v>11622</v>
      </c>
      <c r="D40" s="686">
        <f t="shared" si="3"/>
        <v>23244</v>
      </c>
    </row>
    <row r="41" spans="2:6" s="19" customFormat="1">
      <c r="B41" s="687" t="s">
        <v>1048</v>
      </c>
      <c r="C41" s="359">
        <v>11022</v>
      </c>
      <c r="D41" s="686">
        <f t="shared" si="3"/>
        <v>22044</v>
      </c>
      <c r="E41"/>
      <c r="F41"/>
    </row>
    <row r="42" spans="2:6">
      <c r="B42" s="687" t="s">
        <v>1049</v>
      </c>
      <c r="C42" s="359">
        <v>11222</v>
      </c>
      <c r="D42" s="686">
        <f t="shared" si="3"/>
        <v>22444</v>
      </c>
    </row>
    <row r="49" spans="2:6" s="19" customFormat="1">
      <c r="B49"/>
      <c r="C49"/>
      <c r="D49"/>
      <c r="E49"/>
      <c r="F49"/>
    </row>
    <row r="58" spans="2:6" s="19" customFormat="1">
      <c r="B58"/>
      <c r="C58"/>
      <c r="D58"/>
      <c r="E58"/>
      <c r="F58"/>
    </row>
    <row r="67" spans="2:6" s="19" customFormat="1">
      <c r="B67"/>
      <c r="C67"/>
      <c r="D67"/>
      <c r="E67"/>
      <c r="F67"/>
    </row>
  </sheetData>
  <mergeCells count="2">
    <mergeCell ref="C2:D2"/>
    <mergeCell ref="C23:D23"/>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70B51-AE92-4E68-BB95-AFBC4641BFEC}">
  <sheetPr codeName="Sheet1">
    <tabColor rgb="FFD2C9D9"/>
  </sheetPr>
  <dimension ref="A1:W62"/>
  <sheetViews>
    <sheetView showGridLines="0" workbookViewId="0">
      <selection activeCell="B32" sqref="B32"/>
    </sheetView>
  </sheetViews>
  <sheetFormatPr defaultColWidth="0" defaultRowHeight="15" customHeight="1" zeroHeight="1"/>
  <cols>
    <col min="1" max="1" width="7.5703125" customWidth="1"/>
    <col min="2" max="2" width="12.5703125" customWidth="1"/>
    <col min="3" max="3" width="11.42578125" customWidth="1"/>
    <col min="4" max="16" width="9.140625" customWidth="1"/>
    <col min="17" max="17" width="11.7109375" customWidth="1"/>
    <col min="18" max="18" width="7.5703125" customWidth="1"/>
    <col min="19" max="23" width="0" hidden="1" customWidth="1"/>
    <col min="24" max="16384" width="9.140625" hidden="1"/>
  </cols>
  <sheetData>
    <row r="1" spans="2:17"/>
    <row r="2" spans="2:17" ht="18.75">
      <c r="B2" s="816" t="s">
        <v>71</v>
      </c>
      <c r="C2" s="816"/>
      <c r="D2" s="816"/>
      <c r="E2" s="816"/>
      <c r="F2" s="816"/>
      <c r="G2" s="816"/>
      <c r="H2" s="816"/>
      <c r="I2" s="816"/>
      <c r="J2" s="816"/>
      <c r="K2" s="816"/>
      <c r="L2" s="816"/>
      <c r="M2" s="816"/>
      <c r="N2" s="816"/>
      <c r="O2" s="816"/>
      <c r="P2" s="816"/>
      <c r="Q2" s="816"/>
    </row>
    <row r="3" spans="2:17"/>
    <row r="4" spans="2:17">
      <c r="B4" s="897" t="s">
        <v>72</v>
      </c>
      <c r="C4" s="898"/>
      <c r="D4" s="938"/>
      <c r="E4" s="938"/>
      <c r="F4" s="938"/>
      <c r="G4" s="938"/>
      <c r="H4" s="938"/>
      <c r="I4" s="938"/>
      <c r="J4" s="938"/>
      <c r="K4" s="938"/>
      <c r="L4" s="938"/>
      <c r="M4" s="938"/>
      <c r="N4" s="938"/>
      <c r="O4" s="939"/>
      <c r="P4" s="939"/>
      <c r="Q4" s="940"/>
    </row>
    <row r="5" spans="2:17">
      <c r="B5" s="942" t="s">
        <v>73</v>
      </c>
      <c r="C5" s="943"/>
      <c r="D5" s="941" t="str">
        <f>IF('Proposal Development Checklist'!B18="","",'Proposal Development Checklist'!B18)</f>
        <v/>
      </c>
      <c r="E5" s="919"/>
      <c r="F5" s="919"/>
      <c r="G5" s="919"/>
      <c r="H5" s="919"/>
      <c r="I5" s="919"/>
      <c r="J5" s="919"/>
      <c r="K5" s="919"/>
      <c r="L5" s="919"/>
      <c r="M5" s="919"/>
      <c r="N5" s="919"/>
      <c r="O5" s="920"/>
      <c r="P5" s="920"/>
      <c r="Q5" s="921"/>
    </row>
    <row r="6" spans="2:17">
      <c r="B6" s="895" t="s">
        <v>74</v>
      </c>
      <c r="C6" s="896"/>
      <c r="D6" s="941" t="str">
        <f>IF('Proposal Development Checklist'!D18="","",'Proposal Development Checklist'!D18)</f>
        <v/>
      </c>
      <c r="E6" s="919"/>
      <c r="F6" s="919"/>
      <c r="G6" s="919"/>
      <c r="H6" s="919"/>
      <c r="I6" s="919"/>
      <c r="J6" s="919"/>
      <c r="K6" s="919"/>
      <c r="L6" s="919"/>
      <c r="M6" s="919"/>
      <c r="N6" s="919"/>
      <c r="O6" s="920"/>
      <c r="P6" s="920"/>
      <c r="Q6" s="921"/>
    </row>
    <row r="7" spans="2:17">
      <c r="B7" s="895" t="s">
        <v>75</v>
      </c>
      <c r="C7" s="896"/>
      <c r="D7" s="919" t="str">
        <f>T('Proposal Development Checklist'!C6)</f>
        <v/>
      </c>
      <c r="E7" s="919"/>
      <c r="F7" s="919"/>
      <c r="G7" s="919"/>
      <c r="H7" s="919"/>
      <c r="I7" s="919"/>
      <c r="J7" s="919"/>
      <c r="K7" s="919"/>
      <c r="L7" s="919"/>
      <c r="M7" s="919"/>
      <c r="N7" s="919"/>
      <c r="O7" s="920"/>
      <c r="P7" s="920"/>
      <c r="Q7" s="921"/>
    </row>
    <row r="8" spans="2:17">
      <c r="B8" s="895" t="s">
        <v>76</v>
      </c>
      <c r="C8" s="896"/>
      <c r="D8" s="919" t="str">
        <f>T('Proposal Development Checklist'!C7)</f>
        <v/>
      </c>
      <c r="E8" s="919"/>
      <c r="F8" s="919"/>
      <c r="G8" s="919"/>
      <c r="H8" s="919"/>
      <c r="I8" s="919"/>
      <c r="J8" s="919"/>
      <c r="K8" s="919"/>
      <c r="L8" s="919"/>
      <c r="M8" s="919"/>
      <c r="N8" s="919"/>
      <c r="O8" s="920"/>
      <c r="P8" s="920"/>
      <c r="Q8" s="921"/>
    </row>
    <row r="9" spans="2:17">
      <c r="B9" s="908" t="s">
        <v>77</v>
      </c>
      <c r="C9" s="909"/>
      <c r="D9" s="930" t="s">
        <v>78</v>
      </c>
      <c r="E9" s="931"/>
      <c r="F9" s="931"/>
      <c r="G9" s="931"/>
      <c r="H9" s="932" t="str">
        <f>IF(D9="Awarded Budget of Record", "Fund Number:", IF(D9="no", "", ""))</f>
        <v/>
      </c>
      <c r="I9" s="932"/>
      <c r="J9" s="932"/>
      <c r="K9" s="933"/>
      <c r="L9" s="933"/>
      <c r="M9" s="933"/>
      <c r="N9" s="933"/>
      <c r="O9" s="933"/>
      <c r="P9" s="933"/>
      <c r="Q9" s="934"/>
    </row>
    <row r="10" spans="2:17"/>
    <row r="11" spans="2:17" ht="18.75">
      <c r="B11" s="1502" t="s">
        <v>79</v>
      </c>
      <c r="C11" s="1502"/>
      <c r="D11" s="1502"/>
      <c r="E11" s="1502"/>
      <c r="F11" s="1502"/>
      <c r="G11" s="1502"/>
      <c r="H11" s="1502"/>
      <c r="I11" s="1502"/>
      <c r="J11" s="1502"/>
      <c r="K11" s="1502"/>
      <c r="L11" s="1502"/>
      <c r="M11" s="1502"/>
      <c r="N11" s="1502"/>
      <c r="O11" s="1502"/>
      <c r="P11" s="1502"/>
      <c r="Q11" s="1502"/>
    </row>
    <row r="12" spans="2:17" ht="30" customHeight="1">
      <c r="B12" s="918" t="s">
        <v>80</v>
      </c>
      <c r="C12" s="918"/>
      <c r="D12" s="918"/>
      <c r="E12" s="918"/>
      <c r="F12" s="918"/>
      <c r="G12" s="918"/>
      <c r="H12" s="918"/>
      <c r="I12" s="918"/>
      <c r="J12" s="918"/>
      <c r="K12" s="918"/>
      <c r="L12" s="918"/>
      <c r="M12" s="918"/>
      <c r="N12" s="918"/>
      <c r="O12" s="918"/>
      <c r="P12" s="918"/>
      <c r="Q12" s="918"/>
    </row>
    <row r="13" spans="2:17"/>
    <row r="14" spans="2:17">
      <c r="B14" s="925" t="s">
        <v>81</v>
      </c>
      <c r="C14" s="926"/>
      <c r="D14" s="927"/>
      <c r="E14" s="922" t="str">
        <f>T('Proposal Development Checklist'!C30)</f>
        <v/>
      </c>
      <c r="F14" s="922"/>
      <c r="G14" s="922"/>
      <c r="H14" s="922"/>
      <c r="I14" s="922"/>
      <c r="J14" s="922"/>
      <c r="K14" s="922"/>
      <c r="L14" s="922"/>
      <c r="M14" s="922"/>
      <c r="N14" s="922"/>
      <c r="O14" s="923"/>
      <c r="P14" s="923"/>
      <c r="Q14" s="924"/>
    </row>
    <row r="15" spans="2:17">
      <c r="B15" s="928" t="s">
        <v>82</v>
      </c>
      <c r="C15" s="929"/>
      <c r="D15" s="929"/>
      <c r="E15" s="935">
        <f>'Proposal Development Checklist'!G42</f>
        <v>0.47599999999999998</v>
      </c>
      <c r="F15" s="936"/>
      <c r="G15" s="936"/>
      <c r="H15" s="936"/>
      <c r="I15" s="936"/>
      <c r="J15" s="936"/>
      <c r="K15" s="936"/>
      <c r="L15" s="936"/>
      <c r="M15" s="936"/>
      <c r="N15" s="936"/>
      <c r="O15" s="936"/>
      <c r="P15" s="936"/>
      <c r="Q15" s="937"/>
    </row>
    <row r="16" spans="2:17"/>
    <row r="17" spans="2:17" ht="18.75">
      <c r="B17" s="1502" t="s">
        <v>83</v>
      </c>
      <c r="C17" s="1502"/>
      <c r="D17" s="1502"/>
      <c r="E17" s="1502"/>
      <c r="F17" s="1502"/>
      <c r="G17" s="1502"/>
      <c r="H17" s="1502"/>
      <c r="I17" s="1502"/>
      <c r="J17" s="1502"/>
      <c r="K17" s="1502"/>
      <c r="L17" s="1502"/>
      <c r="M17" s="1502"/>
      <c r="N17" s="1502"/>
      <c r="O17" s="1502"/>
      <c r="P17" s="1502"/>
      <c r="Q17" s="1502"/>
    </row>
    <row r="18" spans="2:17">
      <c r="B18" s="878" t="s">
        <v>84</v>
      </c>
      <c r="C18" s="878"/>
      <c r="D18" s="878"/>
      <c r="E18" s="878"/>
      <c r="F18" s="878"/>
      <c r="G18" s="878"/>
      <c r="H18" s="878"/>
      <c r="I18" s="878"/>
      <c r="J18" s="878"/>
      <c r="K18" s="878"/>
      <c r="L18" s="878"/>
      <c r="M18" s="878"/>
      <c r="N18" s="878"/>
      <c r="O18" s="878"/>
      <c r="P18" s="878"/>
      <c r="Q18" s="878"/>
    </row>
    <row r="19" spans="2:17"/>
    <row r="20" spans="2:17">
      <c r="B20" s="870" t="s">
        <v>85</v>
      </c>
      <c r="C20" s="871"/>
      <c r="D20" s="871"/>
      <c r="E20" s="872"/>
      <c r="F20" s="873" t="s">
        <v>86</v>
      </c>
      <c r="G20" s="874"/>
      <c r="H20" s="875" t="str">
        <f>IF(F20="yes", "Total Cost Share:", IF(F20="no", "", ""))</f>
        <v/>
      </c>
      <c r="I20" s="875"/>
      <c r="J20" s="875"/>
      <c r="K20" s="876" t="str">
        <f>IF(F20="yes",'Cumulative Cost'!K112, "")</f>
        <v/>
      </c>
      <c r="L20" s="876"/>
      <c r="M20" s="876"/>
      <c r="N20" s="876"/>
      <c r="O20" s="876"/>
      <c r="P20" s="876"/>
      <c r="Q20" s="877"/>
    </row>
    <row r="21" spans="2:17"/>
    <row r="22" spans="2:17" ht="18.75">
      <c r="B22" s="1502" t="s">
        <v>87</v>
      </c>
      <c r="C22" s="1502"/>
      <c r="D22" s="1502"/>
      <c r="E22" s="1502"/>
      <c r="F22" s="1502"/>
      <c r="G22" s="1502"/>
      <c r="H22" s="1502"/>
      <c r="I22" s="1502"/>
      <c r="J22" s="1502"/>
      <c r="K22" s="1502"/>
      <c r="L22" s="1502"/>
      <c r="M22" s="1502"/>
      <c r="N22" s="1502"/>
      <c r="O22" s="1502"/>
      <c r="P22" s="1502"/>
      <c r="Q22" s="1502"/>
    </row>
    <row r="23" spans="2:17">
      <c r="B23" s="878" t="s">
        <v>88</v>
      </c>
      <c r="C23" s="878"/>
      <c r="D23" s="878"/>
      <c r="E23" s="878"/>
      <c r="F23" s="878"/>
      <c r="G23" s="878"/>
      <c r="H23" s="878"/>
      <c r="I23" s="878"/>
      <c r="J23" s="878"/>
      <c r="K23" s="878"/>
      <c r="L23" s="878"/>
      <c r="M23" s="878"/>
      <c r="N23" s="878"/>
      <c r="O23" s="878"/>
      <c r="P23" s="878"/>
      <c r="Q23" s="878"/>
    </row>
    <row r="24" spans="2:17"/>
    <row r="25" spans="2:17">
      <c r="B25" s="870" t="s">
        <v>89</v>
      </c>
      <c r="C25" s="871"/>
      <c r="D25" s="871"/>
      <c r="E25" s="872"/>
      <c r="F25" s="873" t="s">
        <v>86</v>
      </c>
      <c r="G25" s="874"/>
      <c r="H25" s="875" t="str">
        <f>IF(F25="yes", "Total Equipment Cost:", IF(F25="no", "", ""))</f>
        <v/>
      </c>
      <c r="I25" s="875"/>
      <c r="J25" s="875"/>
      <c r="K25" s="876" t="str">
        <f>IF(F25="yes",'Cumulative Cost'!J58,"")</f>
        <v/>
      </c>
      <c r="L25" s="876"/>
      <c r="M25" s="876"/>
      <c r="N25" s="876"/>
      <c r="O25" s="876"/>
      <c r="P25" s="876"/>
      <c r="Q25" s="877"/>
    </row>
    <row r="26" spans="2:17"/>
    <row r="27" spans="2:17" ht="18.75">
      <c r="B27" s="1502" t="s">
        <v>90</v>
      </c>
      <c r="C27" s="1502"/>
      <c r="D27" s="1502"/>
      <c r="E27" s="1502"/>
      <c r="F27" s="1502"/>
      <c r="G27" s="1502"/>
      <c r="H27" s="1502"/>
      <c r="I27" s="1502"/>
      <c r="J27" s="1502"/>
      <c r="K27" s="1502"/>
      <c r="L27" s="1502"/>
      <c r="M27" s="1502"/>
      <c r="N27" s="1502"/>
      <c r="O27" s="1502"/>
      <c r="P27" s="1502"/>
      <c r="Q27" s="1502"/>
    </row>
    <row r="28" spans="2:17">
      <c r="B28" s="878" t="s">
        <v>91</v>
      </c>
      <c r="C28" s="878"/>
      <c r="D28" s="878"/>
      <c r="E28" s="878"/>
      <c r="F28" s="878"/>
      <c r="G28" s="878"/>
      <c r="H28" s="878"/>
      <c r="I28" s="878"/>
      <c r="J28" s="878"/>
      <c r="K28" s="878"/>
      <c r="L28" s="878"/>
      <c r="M28" s="878"/>
      <c r="N28" s="878"/>
      <c r="O28" s="878"/>
      <c r="P28" s="878"/>
      <c r="Q28" s="878"/>
    </row>
    <row r="29" spans="2:17"/>
    <row r="30" spans="2:17">
      <c r="B30" s="870" t="s">
        <v>92</v>
      </c>
      <c r="C30" s="871"/>
      <c r="D30" s="871"/>
      <c r="E30" s="872"/>
      <c r="F30" s="873" t="s">
        <v>86</v>
      </c>
      <c r="G30" s="874"/>
      <c r="H30" s="875" t="str">
        <f>IF(F30="yes", "Total Subaward Amount:", IF(F30="no", "", ""))</f>
        <v/>
      </c>
      <c r="I30" s="875"/>
      <c r="J30" s="875"/>
      <c r="K30" s="876" t="str">
        <f>IF(F30="yes",'Cumulative Cost'!J72,"")</f>
        <v/>
      </c>
      <c r="L30" s="876"/>
      <c r="M30" s="876"/>
      <c r="N30" s="876"/>
      <c r="O30" s="876"/>
      <c r="P30" s="876"/>
      <c r="Q30" s="877"/>
    </row>
    <row r="31" spans="2:17"/>
    <row r="32" spans="2:17" ht="18.75">
      <c r="B32" s="1502" t="s">
        <v>93</v>
      </c>
      <c r="C32" s="1502"/>
      <c r="D32" s="1502"/>
      <c r="E32" s="1502"/>
      <c r="F32" s="1502"/>
      <c r="G32" s="1502"/>
      <c r="H32" s="1502"/>
      <c r="I32" s="1502"/>
      <c r="J32" s="1502"/>
      <c r="K32" s="1502"/>
      <c r="L32" s="1502"/>
      <c r="M32" s="1502"/>
      <c r="N32" s="1502"/>
      <c r="O32" s="1502"/>
      <c r="P32" s="1502"/>
      <c r="Q32" s="1502"/>
    </row>
    <row r="33" spans="2:17">
      <c r="B33" s="878" t="s">
        <v>94</v>
      </c>
      <c r="C33" s="878"/>
      <c r="D33" s="878"/>
      <c r="E33" s="878"/>
      <c r="F33" s="878"/>
      <c r="G33" s="878"/>
      <c r="H33" s="878"/>
      <c r="I33" s="878"/>
      <c r="J33" s="878"/>
      <c r="K33" s="878"/>
      <c r="L33" s="878"/>
      <c r="M33" s="878"/>
      <c r="N33" s="878"/>
      <c r="O33" s="878"/>
      <c r="P33" s="878"/>
      <c r="Q33" s="878"/>
    </row>
    <row r="34" spans="2:17"/>
    <row r="35" spans="2:17">
      <c r="B35" s="897" t="s">
        <v>95</v>
      </c>
      <c r="C35" s="898"/>
      <c r="D35" s="898"/>
      <c r="E35" s="898"/>
      <c r="F35" s="899"/>
      <c r="G35" s="900">
        <v>0.03</v>
      </c>
      <c r="H35" s="901"/>
      <c r="I35" s="901"/>
      <c r="J35" s="901"/>
      <c r="K35" s="901"/>
      <c r="L35" s="901"/>
      <c r="M35" s="901"/>
      <c r="N35" s="901"/>
      <c r="O35" s="901"/>
      <c r="P35" s="901"/>
      <c r="Q35" s="902"/>
    </row>
    <row r="36" spans="2:17">
      <c r="B36" s="895" t="s">
        <v>96</v>
      </c>
      <c r="C36" s="896"/>
      <c r="D36" s="896"/>
      <c r="E36" s="896"/>
      <c r="F36" s="896"/>
      <c r="G36" s="910">
        <f>'Proposal Development Checklist'!C41</f>
        <v>0</v>
      </c>
      <c r="H36" s="911"/>
      <c r="I36" s="912"/>
      <c r="J36" s="912"/>
      <c r="K36" s="912"/>
      <c r="L36" s="912"/>
      <c r="M36" s="912"/>
      <c r="N36" s="912"/>
      <c r="O36" s="912"/>
      <c r="P36" s="912"/>
      <c r="Q36" s="913"/>
    </row>
    <row r="37" spans="2:17">
      <c r="B37" s="908" t="s">
        <v>97</v>
      </c>
      <c r="C37" s="909"/>
      <c r="D37" s="909"/>
      <c r="E37" s="909"/>
      <c r="F37" s="909"/>
      <c r="G37" s="914" t="str">
        <f>T('Proposal Development Checklist'!C9)</f>
        <v/>
      </c>
      <c r="H37" s="915"/>
      <c r="I37" s="915"/>
      <c r="J37" s="915"/>
      <c r="K37" s="915"/>
      <c r="L37" s="915"/>
      <c r="M37" s="915"/>
      <c r="N37" s="915"/>
      <c r="O37" s="915"/>
      <c r="P37" s="915"/>
      <c r="Q37" s="916"/>
    </row>
    <row r="38" spans="2:17"/>
    <row r="39" spans="2:17" ht="18.75">
      <c r="B39" s="1502" t="s">
        <v>98</v>
      </c>
      <c r="C39" s="1502"/>
      <c r="D39" s="1502"/>
      <c r="E39" s="1502"/>
      <c r="F39" s="1502"/>
      <c r="G39" s="1502"/>
      <c r="H39" s="1502"/>
      <c r="I39" s="1502"/>
      <c r="J39" s="1502"/>
      <c r="K39" s="1502"/>
      <c r="L39" s="1502"/>
      <c r="M39" s="1502"/>
      <c r="N39" s="1502"/>
      <c r="O39" s="1502"/>
      <c r="P39" s="1502"/>
      <c r="Q39" s="1502"/>
    </row>
    <row r="40" spans="2:17">
      <c r="B40" s="878" t="s">
        <v>99</v>
      </c>
      <c r="C40" s="878"/>
      <c r="D40" s="878"/>
      <c r="E40" s="878"/>
      <c r="F40" s="878"/>
      <c r="G40" s="878"/>
      <c r="H40" s="878"/>
      <c r="I40" s="878"/>
      <c r="J40" s="878"/>
      <c r="K40" s="878"/>
      <c r="L40" s="878"/>
      <c r="M40" s="878"/>
      <c r="N40" s="878"/>
      <c r="O40" s="878"/>
      <c r="P40" s="878"/>
      <c r="Q40" s="878"/>
    </row>
    <row r="41" spans="2:17">
      <c r="B41" s="681"/>
      <c r="C41" s="681"/>
      <c r="D41" s="681"/>
      <c r="E41" s="681"/>
      <c r="F41" s="681"/>
      <c r="G41" s="681"/>
      <c r="H41" s="681"/>
      <c r="I41" s="681"/>
      <c r="J41" s="681"/>
      <c r="K41" s="681"/>
      <c r="L41" s="681"/>
      <c r="M41" s="681"/>
      <c r="N41" s="681"/>
      <c r="O41" s="681"/>
      <c r="P41" s="681"/>
      <c r="Q41" s="681"/>
    </row>
    <row r="42" spans="2:17">
      <c r="B42" s="904" t="s">
        <v>100</v>
      </c>
      <c r="C42" s="903"/>
      <c r="D42" s="903"/>
      <c r="E42" s="903"/>
      <c r="F42" s="903" t="s">
        <v>101</v>
      </c>
      <c r="G42" s="903"/>
      <c r="H42" s="903" t="s">
        <v>102</v>
      </c>
      <c r="I42" s="903"/>
      <c r="J42" s="903" t="s">
        <v>103</v>
      </c>
      <c r="K42" s="903"/>
      <c r="L42" s="903" t="s">
        <v>104</v>
      </c>
      <c r="M42" s="903"/>
      <c r="N42" s="903" t="s">
        <v>105</v>
      </c>
      <c r="O42" s="903"/>
      <c r="P42" s="903" t="s">
        <v>106</v>
      </c>
      <c r="Q42" s="917"/>
    </row>
    <row r="43" spans="2:17">
      <c r="B43" s="889" t="s">
        <v>107</v>
      </c>
      <c r="C43" s="890"/>
      <c r="D43" s="890"/>
      <c r="E43" s="890"/>
      <c r="F43" s="890"/>
      <c r="G43" s="890"/>
      <c r="H43" s="890"/>
      <c r="I43" s="890"/>
      <c r="J43" s="890"/>
      <c r="K43" s="890"/>
      <c r="L43" s="890"/>
      <c r="M43" s="890"/>
      <c r="N43" s="890"/>
      <c r="O43" s="890"/>
      <c r="P43" s="890"/>
      <c r="Q43" s="891"/>
    </row>
    <row r="44" spans="2:17">
      <c r="B44" s="893" t="s">
        <v>108</v>
      </c>
      <c r="C44" s="894"/>
      <c r="D44" s="894"/>
      <c r="E44" s="894"/>
      <c r="F44" s="879">
        <f>'Bdgt Yr 1'!$K$24</f>
        <v>0</v>
      </c>
      <c r="G44" s="879"/>
      <c r="H44" s="879">
        <f>'Bdgt Yr 2'!$K$24</f>
        <v>0</v>
      </c>
      <c r="I44" s="879"/>
      <c r="J44" s="879">
        <f>'Bdgt Yr 3'!$K$24</f>
        <v>0</v>
      </c>
      <c r="K44" s="879"/>
      <c r="L44" s="879">
        <f>'Bdgt Yr 4'!$K$24</f>
        <v>0</v>
      </c>
      <c r="M44" s="879"/>
      <c r="N44" s="879">
        <f>'Bdgt Yr 5'!$K$24</f>
        <v>0</v>
      </c>
      <c r="O44" s="879"/>
      <c r="P44" s="879">
        <f>SUM(F44:O44)</f>
        <v>0</v>
      </c>
      <c r="Q44" s="880"/>
    </row>
    <row r="45" spans="2:17">
      <c r="B45" s="893" t="s">
        <v>109</v>
      </c>
      <c r="C45" s="894"/>
      <c r="D45" s="894"/>
      <c r="E45" s="894"/>
      <c r="F45" s="879">
        <f>'Bdgt Yr 1'!$L$24</f>
        <v>0</v>
      </c>
      <c r="G45" s="879"/>
      <c r="H45" s="879">
        <f>'Bdgt Yr 2'!$L$24</f>
        <v>0</v>
      </c>
      <c r="I45" s="879"/>
      <c r="J45" s="879">
        <f>'Bdgt Yr 3'!$L$24</f>
        <v>0</v>
      </c>
      <c r="K45" s="879"/>
      <c r="L45" s="879">
        <f>'Bdgt Yr 4'!$L$24</f>
        <v>0</v>
      </c>
      <c r="M45" s="879"/>
      <c r="N45" s="879">
        <f>'Bdgt Yr 5'!$L$24</f>
        <v>0</v>
      </c>
      <c r="O45" s="879"/>
      <c r="P45" s="879">
        <f t="shared" ref="P45:P49" si="0">SUM(F45:O45)</f>
        <v>0</v>
      </c>
      <c r="Q45" s="880"/>
    </row>
    <row r="46" spans="2:17">
      <c r="B46" s="893" t="s">
        <v>110</v>
      </c>
      <c r="C46" s="894"/>
      <c r="D46" s="894"/>
      <c r="E46" s="894"/>
      <c r="F46" s="879">
        <f>'Bdgt Yr 1'!$K$39</f>
        <v>0</v>
      </c>
      <c r="G46" s="879"/>
      <c r="H46" s="879">
        <f>'Bdgt Yr 2'!$K$39</f>
        <v>0</v>
      </c>
      <c r="I46" s="879"/>
      <c r="J46" s="879">
        <f>'Bdgt Yr 3'!$K$39</f>
        <v>0</v>
      </c>
      <c r="K46" s="879"/>
      <c r="L46" s="879">
        <f>'Bdgt Yr 4'!$K$39</f>
        <v>0</v>
      </c>
      <c r="M46" s="879"/>
      <c r="N46" s="879">
        <f>'Bdgt Yr 5'!$K$39</f>
        <v>0</v>
      </c>
      <c r="O46" s="879"/>
      <c r="P46" s="879">
        <f t="shared" si="0"/>
        <v>0</v>
      </c>
      <c r="Q46" s="880"/>
    </row>
    <row r="47" spans="2:17">
      <c r="B47" s="893" t="s">
        <v>111</v>
      </c>
      <c r="C47" s="894"/>
      <c r="D47" s="894"/>
      <c r="E47" s="894"/>
      <c r="F47" s="879">
        <f>'Bdgt Yr 1'!$L$39</f>
        <v>0</v>
      </c>
      <c r="G47" s="879"/>
      <c r="H47" s="879">
        <f>'Bdgt Yr 2'!$L$39</f>
        <v>0</v>
      </c>
      <c r="I47" s="879"/>
      <c r="J47" s="879">
        <f>'Bdgt Yr 3'!$L$39</f>
        <v>0</v>
      </c>
      <c r="K47" s="879"/>
      <c r="L47" s="879">
        <f>'Bdgt Yr 4'!$L$39</f>
        <v>0</v>
      </c>
      <c r="M47" s="879"/>
      <c r="N47" s="879">
        <f>'Bdgt Yr 5'!$L$39</f>
        <v>0</v>
      </c>
      <c r="O47" s="879"/>
      <c r="P47" s="879">
        <f t="shared" si="0"/>
        <v>0</v>
      </c>
      <c r="Q47" s="880"/>
    </row>
    <row r="48" spans="2:17">
      <c r="B48" s="893" t="s">
        <v>112</v>
      </c>
      <c r="C48" s="894"/>
      <c r="D48" s="894"/>
      <c r="E48" s="894"/>
      <c r="F48" s="879">
        <f>'Bdgt Yr 1'!$K$52</f>
        <v>0</v>
      </c>
      <c r="G48" s="879"/>
      <c r="H48" s="879">
        <f>'Bdgt Yr 2'!$K$52</f>
        <v>0</v>
      </c>
      <c r="I48" s="879"/>
      <c r="J48" s="879">
        <f>'Bdgt Yr 3'!$K$52</f>
        <v>0</v>
      </c>
      <c r="K48" s="879"/>
      <c r="L48" s="879">
        <f>'Bdgt Yr 4'!$K$52</f>
        <v>0</v>
      </c>
      <c r="M48" s="879"/>
      <c r="N48" s="879">
        <f>'Bdgt Yr 5'!$K$52</f>
        <v>0</v>
      </c>
      <c r="O48" s="879"/>
      <c r="P48" s="879">
        <f t="shared" si="0"/>
        <v>0</v>
      </c>
      <c r="Q48" s="880"/>
    </row>
    <row r="49" spans="2:17">
      <c r="B49" s="893" t="s">
        <v>113</v>
      </c>
      <c r="C49" s="894"/>
      <c r="D49" s="894"/>
      <c r="E49" s="894"/>
      <c r="F49" s="879">
        <f>'Bdgt Yr 1'!$L$52</f>
        <v>0</v>
      </c>
      <c r="G49" s="879"/>
      <c r="H49" s="879">
        <f>'Bdgt Yr 2'!$L$52</f>
        <v>0</v>
      </c>
      <c r="I49" s="879"/>
      <c r="J49" s="879">
        <f>'Bdgt Yr 3'!$L$52</f>
        <v>0</v>
      </c>
      <c r="K49" s="879"/>
      <c r="L49" s="879">
        <f>'Bdgt Yr 4'!$L$52</f>
        <v>0</v>
      </c>
      <c r="M49" s="879"/>
      <c r="N49" s="879">
        <f>'Bdgt Yr 5'!$L$52</f>
        <v>0</v>
      </c>
      <c r="O49" s="879"/>
      <c r="P49" s="879">
        <f t="shared" si="0"/>
        <v>0</v>
      </c>
      <c r="Q49" s="880"/>
    </row>
    <row r="50" spans="2:17">
      <c r="B50" s="889" t="s">
        <v>114</v>
      </c>
      <c r="C50" s="890"/>
      <c r="D50" s="890"/>
      <c r="E50" s="890"/>
      <c r="F50" s="890"/>
      <c r="G50" s="890"/>
      <c r="H50" s="890"/>
      <c r="I50" s="890"/>
      <c r="J50" s="890"/>
      <c r="K50" s="890"/>
      <c r="L50" s="890"/>
      <c r="M50" s="890"/>
      <c r="N50" s="890"/>
      <c r="O50" s="890"/>
      <c r="P50" s="890"/>
      <c r="Q50" s="891"/>
    </row>
    <row r="51" spans="2:17">
      <c r="B51" s="893" t="s">
        <v>115</v>
      </c>
      <c r="C51" s="894"/>
      <c r="D51" s="894"/>
      <c r="E51" s="894"/>
      <c r="F51" s="879">
        <f>'Bdgt Yr 1'!$M$62</f>
        <v>0</v>
      </c>
      <c r="G51" s="879"/>
      <c r="H51" s="879">
        <f>'Bdgt Yr 2'!$M$62</f>
        <v>0</v>
      </c>
      <c r="I51" s="879"/>
      <c r="J51" s="879">
        <f>'Bdgt Yr 3'!$M$62</f>
        <v>0</v>
      </c>
      <c r="K51" s="879"/>
      <c r="L51" s="879">
        <f>'Bdgt Yr 4'!$M$62</f>
        <v>0</v>
      </c>
      <c r="M51" s="879"/>
      <c r="N51" s="879">
        <f>'Bdgt Yr 5'!$M$62</f>
        <v>0</v>
      </c>
      <c r="O51" s="879"/>
      <c r="P51" s="879">
        <f>SUM(F51:O51)</f>
        <v>0</v>
      </c>
      <c r="Q51" s="880"/>
    </row>
    <row r="52" spans="2:17">
      <c r="B52" s="893" t="s">
        <v>116</v>
      </c>
      <c r="C52" s="894"/>
      <c r="D52" s="894"/>
      <c r="E52" s="894"/>
      <c r="F52" s="879">
        <f>'Bdgt Yr 1'!$M$67</f>
        <v>0</v>
      </c>
      <c r="G52" s="879"/>
      <c r="H52" s="879">
        <f>'Bdgt Yr 2'!$M$67</f>
        <v>0</v>
      </c>
      <c r="I52" s="879"/>
      <c r="J52" s="879">
        <f>'Bdgt Yr 3'!$M$67</f>
        <v>0</v>
      </c>
      <c r="K52" s="879"/>
      <c r="L52" s="879">
        <f>'Bdgt Yr 4'!$M$67</f>
        <v>0</v>
      </c>
      <c r="M52" s="879"/>
      <c r="N52" s="879">
        <f>'Bdgt Yr 5'!$M$67</f>
        <v>0</v>
      </c>
      <c r="O52" s="879"/>
      <c r="P52" s="879">
        <f t="shared" ref="P52:P54" si="1">SUM(F52:O52)</f>
        <v>0</v>
      </c>
      <c r="Q52" s="880"/>
    </row>
    <row r="53" spans="2:17">
      <c r="B53" s="893" t="s">
        <v>117</v>
      </c>
      <c r="C53" s="894"/>
      <c r="D53" s="894"/>
      <c r="E53" s="894"/>
      <c r="F53" s="879">
        <f>'Bdgt Yr 1'!$M$74</f>
        <v>0</v>
      </c>
      <c r="G53" s="879"/>
      <c r="H53" s="879">
        <f>'Bdgt Yr 2'!$M$74</f>
        <v>0</v>
      </c>
      <c r="I53" s="879"/>
      <c r="J53" s="879">
        <f>'Bdgt Yr 3'!$M$74</f>
        <v>0</v>
      </c>
      <c r="K53" s="879"/>
      <c r="L53" s="879">
        <f>'Bdgt Yr 4'!$M$74</f>
        <v>0</v>
      </c>
      <c r="M53" s="879"/>
      <c r="N53" s="879">
        <f>'Bdgt Yr 5'!$M$74</f>
        <v>0</v>
      </c>
      <c r="O53" s="879"/>
      <c r="P53" s="879">
        <f t="shared" si="1"/>
        <v>0</v>
      </c>
      <c r="Q53" s="880"/>
    </row>
    <row r="54" spans="2:17">
      <c r="B54" s="893" t="s">
        <v>118</v>
      </c>
      <c r="C54" s="894"/>
      <c r="D54" s="894"/>
      <c r="E54" s="894"/>
      <c r="F54" s="879">
        <f>'Bdgt Yr 1'!$M$81</f>
        <v>0</v>
      </c>
      <c r="G54" s="879"/>
      <c r="H54" s="879">
        <f>'Bdgt Yr 2'!$M$81</f>
        <v>0</v>
      </c>
      <c r="I54" s="879"/>
      <c r="J54" s="879">
        <f>'Bdgt Yr 3'!$M$81</f>
        <v>0</v>
      </c>
      <c r="K54" s="879"/>
      <c r="L54" s="879">
        <f>'Bdgt Yr 4'!$M$81</f>
        <v>0</v>
      </c>
      <c r="M54" s="879"/>
      <c r="N54" s="879">
        <f>'Bdgt Yr 5'!$M$81</f>
        <v>0</v>
      </c>
      <c r="O54" s="879"/>
      <c r="P54" s="879">
        <f t="shared" si="1"/>
        <v>0</v>
      </c>
      <c r="Q54" s="880"/>
    </row>
    <row r="55" spans="2:17">
      <c r="B55" s="889" t="s">
        <v>119</v>
      </c>
      <c r="C55" s="890"/>
      <c r="D55" s="890"/>
      <c r="E55" s="890"/>
      <c r="F55" s="890"/>
      <c r="G55" s="890"/>
      <c r="H55" s="890"/>
      <c r="I55" s="890"/>
      <c r="J55" s="890"/>
      <c r="K55" s="890"/>
      <c r="L55" s="890"/>
      <c r="M55" s="890"/>
      <c r="N55" s="890"/>
      <c r="O55" s="890"/>
      <c r="P55" s="890"/>
      <c r="Q55" s="891"/>
    </row>
    <row r="56" spans="2:17">
      <c r="B56" s="893" t="s">
        <v>120</v>
      </c>
      <c r="C56" s="894"/>
      <c r="D56" s="894"/>
      <c r="E56" s="894"/>
      <c r="F56" s="879">
        <f>'Bdgt Yr 1'!$M$86</f>
        <v>0</v>
      </c>
      <c r="G56" s="879"/>
      <c r="H56" s="879">
        <f>'Bdgt Yr 2'!$M$86</f>
        <v>0</v>
      </c>
      <c r="I56" s="879"/>
      <c r="J56" s="879">
        <f>'Bdgt Yr 3'!$M$86</f>
        <v>0</v>
      </c>
      <c r="K56" s="879"/>
      <c r="L56" s="879">
        <f>'Bdgt Yr 4'!$M$86</f>
        <v>0</v>
      </c>
      <c r="M56" s="879"/>
      <c r="N56" s="879">
        <f>'Bdgt Yr 5'!$M$86</f>
        <v>0</v>
      </c>
      <c r="O56" s="879"/>
      <c r="P56" s="879">
        <f>SUM(F56:O56)</f>
        <v>0</v>
      </c>
      <c r="Q56" s="880"/>
    </row>
    <row r="57" spans="2:17">
      <c r="B57" s="893" t="s">
        <v>119</v>
      </c>
      <c r="C57" s="894"/>
      <c r="D57" s="894"/>
      <c r="E57" s="894"/>
      <c r="F57" s="879">
        <f>'Bdgt Yr 1'!$M$113</f>
        <v>0</v>
      </c>
      <c r="G57" s="879"/>
      <c r="H57" s="879">
        <f>'Bdgt Yr 2'!$M$113</f>
        <v>0</v>
      </c>
      <c r="I57" s="879"/>
      <c r="J57" s="879">
        <f>'Bdgt Yr 3'!$M$113</f>
        <v>0</v>
      </c>
      <c r="K57" s="879"/>
      <c r="L57" s="879">
        <f>'Bdgt Yr 4'!$M$113</f>
        <v>0</v>
      </c>
      <c r="M57" s="879"/>
      <c r="N57" s="879">
        <f>'Bdgt Yr 5'!$M$113</f>
        <v>0</v>
      </c>
      <c r="O57" s="879"/>
      <c r="P57" s="879">
        <f t="shared" ref="P57" si="2">SUM(F57:O57)</f>
        <v>0</v>
      </c>
      <c r="Q57" s="880"/>
    </row>
    <row r="58" spans="2:17" ht="15.75" thickBot="1">
      <c r="B58" s="905" t="s">
        <v>121</v>
      </c>
      <c r="C58" s="906"/>
      <c r="D58" s="906"/>
      <c r="E58" s="907"/>
      <c r="F58" s="887">
        <f>'Bdgt Yr 1'!$M$119</f>
        <v>0</v>
      </c>
      <c r="G58" s="888"/>
      <c r="H58" s="887">
        <f>'Bdgt Yr 2'!$M$119</f>
        <v>0</v>
      </c>
      <c r="I58" s="888"/>
      <c r="J58" s="887">
        <f>'Bdgt Yr 3'!$M$119</f>
        <v>0</v>
      </c>
      <c r="K58" s="888"/>
      <c r="L58" s="887">
        <f>'Bdgt Yr 4'!$M$119</f>
        <v>0</v>
      </c>
      <c r="M58" s="888"/>
      <c r="N58" s="887">
        <f>'Bdgt Yr 5'!$M$119</f>
        <v>0</v>
      </c>
      <c r="O58" s="888"/>
      <c r="P58" s="881">
        <f>SUM(F58:O58)</f>
        <v>0</v>
      </c>
      <c r="Q58" s="882"/>
    </row>
    <row r="59" spans="2:17" ht="15.75" thickBot="1">
      <c r="B59" s="1516" t="s">
        <v>106</v>
      </c>
      <c r="C59" s="1517"/>
      <c r="D59" s="1517"/>
      <c r="E59" s="1518"/>
      <c r="F59" s="885">
        <f>SUM(F44:G49,F51:G54,F56:G58)</f>
        <v>0</v>
      </c>
      <c r="G59" s="886"/>
      <c r="H59" s="885">
        <f>SUM(H44:I49,H51:I54,H56:I58)</f>
        <v>0</v>
      </c>
      <c r="I59" s="886"/>
      <c r="J59" s="885">
        <f>SUM(J44:K49,J51:K54,J56:K58)</f>
        <v>0</v>
      </c>
      <c r="K59" s="886"/>
      <c r="L59" s="885">
        <f>SUM(L44:M49,L51:M54,L56:M58)</f>
        <v>0</v>
      </c>
      <c r="M59" s="886"/>
      <c r="N59" s="885">
        <f>SUM(N44:O49,N51:O54,N56:O58)</f>
        <v>0</v>
      </c>
      <c r="O59" s="892"/>
      <c r="P59" s="883">
        <f>SUM(F59:O59)</f>
        <v>0</v>
      </c>
      <c r="Q59" s="884"/>
    </row>
    <row r="60" spans="2:17">
      <c r="B60" s="878"/>
      <c r="C60" s="878"/>
      <c r="D60" s="878"/>
      <c r="E60" s="878"/>
      <c r="F60" s="878"/>
      <c r="G60" s="878"/>
      <c r="H60" s="878"/>
      <c r="I60" s="878"/>
      <c r="J60" s="878"/>
      <c r="K60" s="878"/>
      <c r="L60" s="878"/>
      <c r="M60" s="878"/>
      <c r="N60" s="878"/>
      <c r="O60" s="878"/>
      <c r="P60" s="878"/>
      <c r="Q60" s="878"/>
    </row>
    <row r="61" spans="2:17" ht="15" customHeight="1"/>
    <row r="62" spans="2:17" ht="15" customHeight="1"/>
  </sheetData>
  <mergeCells count="166">
    <mergeCell ref="B2:Q2"/>
    <mergeCell ref="D4:Q4"/>
    <mergeCell ref="D5:Q5"/>
    <mergeCell ref="D6:Q6"/>
    <mergeCell ref="D7:Q7"/>
    <mergeCell ref="B5:C5"/>
    <mergeCell ref="B6:C6"/>
    <mergeCell ref="B4:C4"/>
    <mergeCell ref="B7:C7"/>
    <mergeCell ref="P42:Q42"/>
    <mergeCell ref="H44:I44"/>
    <mergeCell ref="B12:Q12"/>
    <mergeCell ref="B33:Q33"/>
    <mergeCell ref="H20:J20"/>
    <mergeCell ref="K20:Q20"/>
    <mergeCell ref="D8:Q8"/>
    <mergeCell ref="B20:E20"/>
    <mergeCell ref="B8:C8"/>
    <mergeCell ref="F20:G20"/>
    <mergeCell ref="B11:Q11"/>
    <mergeCell ref="E14:Q14"/>
    <mergeCell ref="B14:D14"/>
    <mergeCell ref="B18:Q18"/>
    <mergeCell ref="B17:Q17"/>
    <mergeCell ref="B15:D15"/>
    <mergeCell ref="B9:C9"/>
    <mergeCell ref="D9:G9"/>
    <mergeCell ref="H9:J9"/>
    <mergeCell ref="K9:Q9"/>
    <mergeCell ref="B22:Q22"/>
    <mergeCell ref="B23:Q23"/>
    <mergeCell ref="E15:Q15"/>
    <mergeCell ref="L44:M44"/>
    <mergeCell ref="F42:G42"/>
    <mergeCell ref="L45:M45"/>
    <mergeCell ref="L46:M46"/>
    <mergeCell ref="L47:M47"/>
    <mergeCell ref="N42:O42"/>
    <mergeCell ref="F46:G46"/>
    <mergeCell ref="H49:I49"/>
    <mergeCell ref="H48:I48"/>
    <mergeCell ref="L49:M49"/>
    <mergeCell ref="J48:K48"/>
    <mergeCell ref="F44:G44"/>
    <mergeCell ref="F45:G45"/>
    <mergeCell ref="B32:Q32"/>
    <mergeCell ref="H45:I45"/>
    <mergeCell ref="H46:I46"/>
    <mergeCell ref="H47:I47"/>
    <mergeCell ref="P47:Q47"/>
    <mergeCell ref="P44:Q44"/>
    <mergeCell ref="N44:O44"/>
    <mergeCell ref="N45:O45"/>
    <mergeCell ref="L48:M48"/>
    <mergeCell ref="N48:O48"/>
    <mergeCell ref="N46:O46"/>
    <mergeCell ref="P48:Q48"/>
    <mergeCell ref="J47:K47"/>
    <mergeCell ref="B43:Q43"/>
    <mergeCell ref="G36:H36"/>
    <mergeCell ref="I36:Q36"/>
    <mergeCell ref="B39:Q39"/>
    <mergeCell ref="G37:Q37"/>
    <mergeCell ref="H42:I42"/>
    <mergeCell ref="B40:Q40"/>
    <mergeCell ref="N47:O47"/>
    <mergeCell ref="P45:Q45"/>
    <mergeCell ref="P46:Q46"/>
    <mergeCell ref="L42:M42"/>
    <mergeCell ref="B36:F36"/>
    <mergeCell ref="B35:F35"/>
    <mergeCell ref="G35:H35"/>
    <mergeCell ref="I35:Q35"/>
    <mergeCell ref="J42:K42"/>
    <mergeCell ref="B42:E42"/>
    <mergeCell ref="B44:E44"/>
    <mergeCell ref="B57:E57"/>
    <mergeCell ref="B58:E58"/>
    <mergeCell ref="H58:I58"/>
    <mergeCell ref="J52:K52"/>
    <mergeCell ref="J53:K53"/>
    <mergeCell ref="J54:K54"/>
    <mergeCell ref="J56:K56"/>
    <mergeCell ref="J57:K57"/>
    <mergeCell ref="J58:K58"/>
    <mergeCell ref="B45:E45"/>
    <mergeCell ref="B46:E46"/>
    <mergeCell ref="J44:K44"/>
    <mergeCell ref="J45:K45"/>
    <mergeCell ref="J46:K46"/>
    <mergeCell ref="F48:G48"/>
    <mergeCell ref="F47:G47"/>
    <mergeCell ref="B37:F37"/>
    <mergeCell ref="B50:Q50"/>
    <mergeCell ref="B55:Q55"/>
    <mergeCell ref="N58:O58"/>
    <mergeCell ref="N59:O59"/>
    <mergeCell ref="B59:E59"/>
    <mergeCell ref="B60:E60"/>
    <mergeCell ref="B47:E47"/>
    <mergeCell ref="B48:E48"/>
    <mergeCell ref="B49:E49"/>
    <mergeCell ref="B51:E51"/>
    <mergeCell ref="B52:E52"/>
    <mergeCell ref="B53:E53"/>
    <mergeCell ref="B54:E54"/>
    <mergeCell ref="B56:E56"/>
    <mergeCell ref="J49:K49"/>
    <mergeCell ref="N49:O49"/>
    <mergeCell ref="P49:Q49"/>
    <mergeCell ref="L57:M57"/>
    <mergeCell ref="L58:M58"/>
    <mergeCell ref="L59:M59"/>
    <mergeCell ref="L60:M60"/>
    <mergeCell ref="H59:I59"/>
    <mergeCell ref="H60:I60"/>
    <mergeCell ref="F49:G49"/>
    <mergeCell ref="F51:G51"/>
    <mergeCell ref="F52:G52"/>
    <mergeCell ref="F53:G53"/>
    <mergeCell ref="F54:G54"/>
    <mergeCell ref="F56:G56"/>
    <mergeCell ref="F57:G57"/>
    <mergeCell ref="F58:G58"/>
    <mergeCell ref="F59:G59"/>
    <mergeCell ref="F60:G60"/>
    <mergeCell ref="H51:I51"/>
    <mergeCell ref="H52:I52"/>
    <mergeCell ref="H53:I53"/>
    <mergeCell ref="H54:I54"/>
    <mergeCell ref="H56:I56"/>
    <mergeCell ref="H57:I57"/>
    <mergeCell ref="J59:K59"/>
    <mergeCell ref="J60:K60"/>
    <mergeCell ref="J51:K51"/>
    <mergeCell ref="P51:Q51"/>
    <mergeCell ref="P52:Q52"/>
    <mergeCell ref="P53:Q53"/>
    <mergeCell ref="P54:Q54"/>
    <mergeCell ref="P56:Q56"/>
    <mergeCell ref="P57:Q57"/>
    <mergeCell ref="P58:Q58"/>
    <mergeCell ref="P59:Q59"/>
    <mergeCell ref="P60:Q60"/>
    <mergeCell ref="N60:O60"/>
    <mergeCell ref="N51:O51"/>
    <mergeCell ref="N52:O52"/>
    <mergeCell ref="N53:O53"/>
    <mergeCell ref="N54:O54"/>
    <mergeCell ref="N56:O56"/>
    <mergeCell ref="N57:O57"/>
    <mergeCell ref="L51:M51"/>
    <mergeCell ref="L52:M52"/>
    <mergeCell ref="L53:M53"/>
    <mergeCell ref="L54:M54"/>
    <mergeCell ref="L56:M56"/>
    <mergeCell ref="B25:E25"/>
    <mergeCell ref="F25:G25"/>
    <mergeCell ref="H25:J25"/>
    <mergeCell ref="K25:Q25"/>
    <mergeCell ref="B27:Q27"/>
    <mergeCell ref="B28:Q28"/>
    <mergeCell ref="B30:E30"/>
    <mergeCell ref="F30:G30"/>
    <mergeCell ref="H30:J30"/>
    <mergeCell ref="K30:Q30"/>
  </mergeCells>
  <conditionalFormatting sqref="F20:G20">
    <cfRule type="containsText" dxfId="10" priority="6" operator="containsText" text="Yes">
      <formula>NOT(ISERROR(SEARCH("Yes",F20)))</formula>
    </cfRule>
  </conditionalFormatting>
  <conditionalFormatting sqref="F25:G25">
    <cfRule type="containsText" dxfId="9" priority="3" operator="containsText" text="Yes">
      <formula>NOT(ISERROR(SEARCH("Yes",F25)))</formula>
    </cfRule>
  </conditionalFormatting>
  <conditionalFormatting sqref="F30:G30">
    <cfRule type="containsText" dxfId="8" priority="1" operator="containsText" text="Yes">
      <formula>NOT(ISERROR(SEARCH("Yes",F30)))</formula>
    </cfRule>
  </conditionalFormatting>
  <conditionalFormatting sqref="H20:K20">
    <cfRule type="notContainsBlanks" dxfId="7" priority="12">
      <formula>LEN(TRIM(H20))&gt;0</formula>
    </cfRule>
  </conditionalFormatting>
  <conditionalFormatting sqref="H25:K25">
    <cfRule type="notContainsBlanks" dxfId="6" priority="4">
      <formula>LEN(TRIM(H25))&gt;0</formula>
    </cfRule>
  </conditionalFormatting>
  <conditionalFormatting sqref="H30:K30">
    <cfRule type="notContainsBlanks" dxfId="5" priority="2">
      <formula>LEN(TRIM(H30))&gt;0</formula>
    </cfRule>
  </conditionalFormatting>
  <dataValidations count="2">
    <dataValidation type="list" allowBlank="1" showInputMessage="1" showErrorMessage="1" sqref="F20:G20 F25:G25 F30:G30" xr:uid="{A31A9621-F611-4F44-8F42-29880DEF89AE}">
      <formula1>"Yes, No"</formula1>
    </dataValidation>
    <dataValidation type="list" allowBlank="1" showInputMessage="1" showErrorMessage="1" sqref="D9:G9" xr:uid="{9CCF09A7-8519-4EF3-B9D4-4273F30DDE51}">
      <formula1>"Proposed Budget, Awarded Budget of Record"</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W183"/>
  <sheetViews>
    <sheetView showGridLines="0" zoomScaleNormal="100" workbookViewId="0">
      <selection activeCell="L13" sqref="L13"/>
    </sheetView>
  </sheetViews>
  <sheetFormatPr defaultColWidth="0" defaultRowHeight="14.25" zeroHeight="1"/>
  <cols>
    <col min="1" max="1" width="1.5703125" style="23" customWidth="1"/>
    <col min="2" max="2" width="17" style="394" customWidth="1"/>
    <col min="3" max="3" width="17" style="23" customWidth="1"/>
    <col min="4" max="4" width="28.140625" style="23" customWidth="1"/>
    <col min="5" max="5" width="54.5703125" style="23" customWidth="1"/>
    <col min="6" max="6" width="5.28515625" style="23" customWidth="1"/>
    <col min="7" max="7" width="6.5703125" style="23" customWidth="1"/>
    <col min="8" max="8" width="10.7109375" style="23" customWidth="1"/>
    <col min="9" max="9" width="10.42578125" style="23" customWidth="1"/>
    <col min="10" max="10" width="17.140625" style="23" customWidth="1"/>
    <col min="11" max="11" width="16" style="23" customWidth="1"/>
    <col min="12" max="12" width="15.5703125" style="23" customWidth="1"/>
    <col min="13" max="15" width="16.42578125" style="23" customWidth="1"/>
    <col min="16" max="16" width="15" style="23" customWidth="1"/>
    <col min="17" max="17" width="2.7109375" style="489" customWidth="1"/>
    <col min="18" max="20" width="15" style="395" customWidth="1"/>
    <col min="21" max="21" width="16.28515625" style="395" customWidth="1"/>
    <col min="22" max="22" width="7.28515625" style="23" customWidth="1"/>
    <col min="23" max="16384" width="9.140625" style="23" hidden="1"/>
  </cols>
  <sheetData>
    <row r="1" spans="2:21" ht="7.5" customHeight="1" thickBot="1">
      <c r="Q1" s="23"/>
    </row>
    <row r="2" spans="2:21" ht="15" customHeight="1">
      <c r="B2" s="396" t="s">
        <v>122</v>
      </c>
      <c r="C2" s="397" t="str">
        <f>IF('Budget Summary'!D5="","-",'Budget Summary'!D5)</f>
        <v>-</v>
      </c>
      <c r="D2" s="944" t="s">
        <v>123</v>
      </c>
      <c r="E2" s="945"/>
      <c r="F2" s="1035" t="s">
        <v>124</v>
      </c>
      <c r="G2" s="1036"/>
      <c r="H2" s="1036"/>
      <c r="I2" s="1039" t="str">
        <f>T('Budget Summary'!G37)</f>
        <v/>
      </c>
      <c r="J2" s="1039"/>
      <c r="K2" s="945"/>
      <c r="L2" s="1041" t="s">
        <v>125</v>
      </c>
      <c r="M2" s="1026" t="str">
        <f>T('Budget Summary'!D7)</f>
        <v/>
      </c>
      <c r="N2" s="1026"/>
      <c r="O2" s="1026"/>
      <c r="P2" s="1027"/>
      <c r="Q2" s="398"/>
    </row>
    <row r="3" spans="2:21">
      <c r="B3" s="399" t="s">
        <v>126</v>
      </c>
      <c r="C3" s="400" t="str">
        <f>IF('Budget Summary'!D5="","-",'Bdgt Yr 1'!C2+364)</f>
        <v>-</v>
      </c>
      <c r="D3" s="946"/>
      <c r="E3" s="947"/>
      <c r="F3" s="1037"/>
      <c r="G3" s="1038"/>
      <c r="H3" s="1038"/>
      <c r="I3" s="1040"/>
      <c r="J3" s="1040"/>
      <c r="K3" s="947"/>
      <c r="L3" s="1042"/>
      <c r="M3" s="1028"/>
      <c r="N3" s="1028"/>
      <c r="O3" s="1028"/>
      <c r="P3" s="1029"/>
      <c r="Q3" s="398"/>
    </row>
    <row r="4" spans="2:21" s="398" customFormat="1" ht="15" customHeight="1" thickBot="1">
      <c r="B4" s="401" t="s">
        <v>127</v>
      </c>
      <c r="C4" s="1030" t="str">
        <f>T('Budget Summary'!D8)</f>
        <v/>
      </c>
      <c r="D4" s="1030"/>
      <c r="E4" s="1030"/>
      <c r="F4" s="1030"/>
      <c r="G4" s="1030"/>
      <c r="H4" s="1030"/>
      <c r="I4" s="1031"/>
      <c r="J4" s="402" t="s">
        <v>128</v>
      </c>
      <c r="K4" s="403">
        <v>2026</v>
      </c>
      <c r="L4" s="1032" t="s">
        <v>129</v>
      </c>
      <c r="M4" s="1033"/>
      <c r="N4" s="1033"/>
      <c r="O4" s="1033"/>
      <c r="P4" s="1034"/>
      <c r="Q4" s="23"/>
      <c r="R4" s="404"/>
      <c r="S4" s="404"/>
      <c r="T4" s="404"/>
      <c r="U4" s="404"/>
    </row>
    <row r="5" spans="2:21">
      <c r="B5" s="405"/>
      <c r="C5" s="406"/>
      <c r="D5" s="406"/>
      <c r="E5" s="406"/>
      <c r="F5" s="406"/>
      <c r="G5" s="406"/>
      <c r="H5" s="406"/>
      <c r="I5" s="406"/>
      <c r="J5" s="407"/>
      <c r="K5" s="408"/>
      <c r="L5" s="409"/>
      <c r="M5" s="409"/>
      <c r="N5" s="409"/>
      <c r="O5" s="409"/>
      <c r="P5" s="409"/>
      <c r="Q5" s="23"/>
      <c r="R5" s="404"/>
      <c r="S5" s="404"/>
      <c r="T5" s="404"/>
      <c r="U5" s="404"/>
    </row>
    <row r="6" spans="2:21" s="398" customFormat="1" ht="15.75" customHeight="1" thickBot="1">
      <c r="B6" s="985" t="s">
        <v>130</v>
      </c>
      <c r="C6" s="985"/>
      <c r="D6" s="985"/>
      <c r="E6" s="985"/>
      <c r="F6" s="985"/>
      <c r="G6" s="985"/>
      <c r="H6" s="985"/>
      <c r="I6" s="985"/>
      <c r="J6" s="985"/>
      <c r="K6" s="985"/>
      <c r="L6" s="985"/>
      <c r="M6" s="985"/>
      <c r="N6" s="985"/>
      <c r="O6" s="985"/>
      <c r="P6" s="985"/>
      <c r="Q6" s="23"/>
      <c r="R6" s="974"/>
      <c r="S6" s="974"/>
      <c r="T6" s="974"/>
      <c r="U6" s="974"/>
    </row>
    <row r="7" spans="2:21" ht="7.5" customHeight="1">
      <c r="B7" s="960"/>
      <c r="C7" s="960"/>
      <c r="D7" s="960"/>
      <c r="E7" s="960"/>
      <c r="F7" s="960"/>
      <c r="G7" s="960"/>
      <c r="H7" s="960"/>
      <c r="I7" s="960"/>
      <c r="J7" s="960"/>
      <c r="K7" s="960"/>
      <c r="L7" s="960"/>
      <c r="M7" s="960"/>
      <c r="Q7" s="23"/>
    </row>
    <row r="8" spans="2:21" s="398" customFormat="1" ht="15.75" customHeight="1" thickBot="1">
      <c r="B8" s="985" t="s">
        <v>131</v>
      </c>
      <c r="C8" s="985"/>
      <c r="D8" s="985"/>
      <c r="E8" s="985"/>
      <c r="F8" s="985"/>
      <c r="G8" s="985"/>
      <c r="H8" s="985"/>
      <c r="I8" s="985"/>
      <c r="J8" s="985"/>
      <c r="K8" s="985"/>
      <c r="L8" s="985"/>
      <c r="M8" s="985"/>
      <c r="N8" s="985"/>
      <c r="O8" s="985"/>
      <c r="P8" s="985"/>
      <c r="Q8" s="23"/>
      <c r="R8" s="984" t="s">
        <v>132</v>
      </c>
      <c r="S8" s="984"/>
      <c r="T8" s="984"/>
      <c r="U8" s="984"/>
    </row>
    <row r="9" spans="2:21" ht="7.5" customHeight="1" thickBot="1">
      <c r="B9" s="960"/>
      <c r="C9" s="960"/>
      <c r="D9" s="960"/>
      <c r="E9" s="960"/>
      <c r="F9" s="960"/>
      <c r="G9" s="960"/>
      <c r="H9" s="960"/>
      <c r="I9" s="960"/>
      <c r="J9" s="960"/>
      <c r="K9" s="960"/>
      <c r="L9" s="960"/>
      <c r="M9" s="960"/>
      <c r="Q9" s="23"/>
    </row>
    <row r="10" spans="2:21" ht="45.75" customHeight="1">
      <c r="B10" s="988" t="s">
        <v>133</v>
      </c>
      <c r="C10" s="989"/>
      <c r="D10" s="989"/>
      <c r="E10" s="989"/>
      <c r="F10" s="989"/>
      <c r="G10" s="989"/>
      <c r="H10" s="989"/>
      <c r="I10" s="989"/>
      <c r="J10" s="989"/>
      <c r="K10" s="989"/>
      <c r="L10" s="989"/>
      <c r="M10" s="989"/>
      <c r="N10" s="1043" t="s">
        <v>134</v>
      </c>
      <c r="O10" s="1044"/>
      <c r="P10" s="1045"/>
      <c r="Q10" s="410"/>
      <c r="R10" s="975" t="s">
        <v>135</v>
      </c>
      <c r="S10" s="976"/>
      <c r="T10" s="976"/>
      <c r="U10" s="977"/>
    </row>
    <row r="11" spans="2:21" ht="28.5">
      <c r="B11" s="526" t="s">
        <v>136</v>
      </c>
      <c r="C11" s="527" t="s">
        <v>137</v>
      </c>
      <c r="D11" s="645" t="s">
        <v>138</v>
      </c>
      <c r="E11" s="411" t="s">
        <v>139</v>
      </c>
      <c r="F11" s="1046" t="s">
        <v>140</v>
      </c>
      <c r="G11" s="1047"/>
      <c r="H11" s="361" t="s">
        <v>141</v>
      </c>
      <c r="I11" s="412" t="s">
        <v>142</v>
      </c>
      <c r="J11" s="412" t="s">
        <v>143</v>
      </c>
      <c r="K11" s="412" t="s">
        <v>144</v>
      </c>
      <c r="L11" s="412" t="s">
        <v>145</v>
      </c>
      <c r="M11" s="413" t="s">
        <v>146</v>
      </c>
      <c r="N11" s="263" t="s">
        <v>147</v>
      </c>
      <c r="O11" s="239" t="s">
        <v>148</v>
      </c>
      <c r="P11" s="271" t="s">
        <v>149</v>
      </c>
      <c r="Q11" s="23"/>
      <c r="R11" s="414" t="s">
        <v>150</v>
      </c>
      <c r="S11" s="415" t="s">
        <v>151</v>
      </c>
      <c r="T11" s="415" t="s">
        <v>152</v>
      </c>
      <c r="U11" s="416" t="s">
        <v>153</v>
      </c>
    </row>
    <row r="12" spans="2:21">
      <c r="B12" s="492"/>
      <c r="C12" s="417"/>
      <c r="D12" s="678"/>
      <c r="E12" s="418"/>
      <c r="F12" s="986">
        <v>0</v>
      </c>
      <c r="G12" s="987"/>
      <c r="H12" s="362">
        <f>IF(ISBLANK(B12),0,(F12/B12))</f>
        <v>0</v>
      </c>
      <c r="I12" s="419">
        <v>0</v>
      </c>
      <c r="J12" s="25">
        <v>0</v>
      </c>
      <c r="K12" s="507">
        <f>IF(ISBLANK(B12),0,ROUNDUP((J12*H12)+(J12/B12)*I12,0))</f>
        <v>0</v>
      </c>
      <c r="L12" s="28" cm="1">
        <f t="array" ref="L12">ROUNDUP(_xlfn.IFS(ISBLANK(B12),0,OR(C12="ORP",K12=0),(J12*H12*Constants!$N$14)+(Constants!$N$15*H12)+(J12/B12*I12*Constants!$N$14),OR(C12="TSERS",K12=0),(J12*H12*Constants!$N$7)+(Constants!$N$8*H12)+(J12/B12*I12*Constants!$N$7),OR(C12="Law Enforcement",K12=0),(J12*H12*Constants!$N$28)+(Constants!$N$29*H12)+(J12/B12*I12*Constants!$N$28)),0)</f>
        <v>0</v>
      </c>
      <c r="M12" s="56">
        <f>(K12+L12)</f>
        <v>0</v>
      </c>
      <c r="N12" s="240">
        <f>'Cost-Share'!J6</f>
        <v>0</v>
      </c>
      <c r="O12" s="238">
        <f>'Cost-Share'!K6</f>
        <v>0</v>
      </c>
      <c r="P12" s="270">
        <f>'Cost-Share'!L6</f>
        <v>0</v>
      </c>
      <c r="Q12" s="23"/>
      <c r="R12" s="420">
        <f>K12+N12</f>
        <v>0</v>
      </c>
      <c r="S12" s="421">
        <f>L12+O12</f>
        <v>0</v>
      </c>
      <c r="T12" s="421">
        <f>M12+P12</f>
        <v>0</v>
      </c>
      <c r="U12" s="422" t="str">
        <f t="shared" ref="U12:U23" si="0">IFERROR((P12/T12),"-")</f>
        <v>-</v>
      </c>
    </row>
    <row r="13" spans="2:21">
      <c r="B13" s="492"/>
      <c r="C13" s="417"/>
      <c r="D13" s="678"/>
      <c r="E13" s="418"/>
      <c r="F13" s="986">
        <v>0</v>
      </c>
      <c r="G13" s="987"/>
      <c r="H13" s="362">
        <f t="shared" ref="H13:H23" si="1">IF(ISBLANK(B13),0,(F13/B13))</f>
        <v>0</v>
      </c>
      <c r="I13" s="26">
        <v>0</v>
      </c>
      <c r="J13" s="27">
        <v>0</v>
      </c>
      <c r="K13" s="507">
        <f t="shared" ref="K13:K23" si="2">IF(ISBLANK(B13),0,ROUNDUP((J13*H13)+(J13/B13)*I13,0))</f>
        <v>0</v>
      </c>
      <c r="L13" s="28" cm="1">
        <f t="array" ref="L13">ROUNDUP(_xlfn.IFS(ISBLANK(B13),0,OR(C13="ORP",K13=0),(J13*H13*Constants!$N$14)+(Constants!$N$15*H13)+(J13/B13*I13*Constants!$N$14),OR(C13="TSERS",K13=0),(J13*H13*Constants!$N$7)+(Constants!$N$8*H13)+(J13/B13*I13*Constants!$N$7),OR(C13="Law Enforcement",K13=0),(J13*H13*Constants!$N$28)+(Constants!$N$29*H13)+(J13/B13*I13*Constants!$N$28)),0)</f>
        <v>0</v>
      </c>
      <c r="M13" s="56">
        <f t="shared" ref="M13:M23" si="3">(K13+L13)</f>
        <v>0</v>
      </c>
      <c r="N13" s="240">
        <f>'Cost-Share'!J7</f>
        <v>0</v>
      </c>
      <c r="O13" s="238">
        <f>'Cost-Share'!K7</f>
        <v>0</v>
      </c>
      <c r="P13" s="270">
        <f>'Cost-Share'!L7</f>
        <v>0</v>
      </c>
      <c r="Q13" s="23"/>
      <c r="R13" s="420">
        <f t="shared" ref="R13:R17" si="4">K13+N13</f>
        <v>0</v>
      </c>
      <c r="S13" s="421">
        <f t="shared" ref="S13:S17" si="5">L13+O13</f>
        <v>0</v>
      </c>
      <c r="T13" s="421">
        <f t="shared" ref="T13:T17" si="6">M13+P13</f>
        <v>0</v>
      </c>
      <c r="U13" s="422" t="str">
        <f t="shared" si="0"/>
        <v>-</v>
      </c>
    </row>
    <row r="14" spans="2:21">
      <c r="B14" s="492"/>
      <c r="C14" s="417"/>
      <c r="D14" s="678"/>
      <c r="E14" s="418"/>
      <c r="F14" s="986">
        <v>0</v>
      </c>
      <c r="G14" s="987"/>
      <c r="H14" s="362">
        <f t="shared" si="1"/>
        <v>0</v>
      </c>
      <c r="I14" s="419">
        <v>0</v>
      </c>
      <c r="J14" s="27">
        <v>0</v>
      </c>
      <c r="K14" s="507">
        <f t="shared" si="2"/>
        <v>0</v>
      </c>
      <c r="L14" s="28" cm="1">
        <f t="array" ref="L14">ROUNDUP(_xlfn.IFS(ISBLANK(B14),0,OR(C14="ORP",K14=0),(J14*H14*Constants!$N$14)+(Constants!$N$15*H14)+(J14/B14*I14*Constants!$N$14),OR(C14="TSERS",K14=0),(J14*H14*Constants!$N$7)+(Constants!$N$8*H14)+(J14/B14*I14*Constants!$N$7),OR(C14="Law Enforcement",K14=0),(J14*H14*Constants!$N$28)+(Constants!$N$29*H14)+(J14/B14*I14*Constants!$N$28)),0)</f>
        <v>0</v>
      </c>
      <c r="M14" s="56">
        <f t="shared" si="3"/>
        <v>0</v>
      </c>
      <c r="N14" s="240">
        <f>'Cost-Share'!J8</f>
        <v>0</v>
      </c>
      <c r="O14" s="238">
        <f>'Cost-Share'!K8</f>
        <v>0</v>
      </c>
      <c r="P14" s="270">
        <f>'Cost-Share'!L8</f>
        <v>0</v>
      </c>
      <c r="Q14" s="23"/>
      <c r="R14" s="420">
        <f t="shared" si="4"/>
        <v>0</v>
      </c>
      <c r="S14" s="421">
        <f t="shared" si="5"/>
        <v>0</v>
      </c>
      <c r="T14" s="421">
        <f t="shared" si="6"/>
        <v>0</v>
      </c>
      <c r="U14" s="422" t="str">
        <f t="shared" si="0"/>
        <v>-</v>
      </c>
    </row>
    <row r="15" spans="2:21">
      <c r="B15" s="492"/>
      <c r="C15" s="417"/>
      <c r="D15" s="678"/>
      <c r="E15" s="418"/>
      <c r="F15" s="986">
        <v>0</v>
      </c>
      <c r="G15" s="987"/>
      <c r="H15" s="362">
        <f t="shared" si="1"/>
        <v>0</v>
      </c>
      <c r="I15" s="26">
        <v>0</v>
      </c>
      <c r="J15" s="27">
        <v>0</v>
      </c>
      <c r="K15" s="507">
        <f t="shared" si="2"/>
        <v>0</v>
      </c>
      <c r="L15" s="28" cm="1">
        <f t="array" ref="L15">ROUNDUP(_xlfn.IFS(ISBLANK(B15),0,OR(C15="ORP",K15=0),(J15*H15*Constants!$N$14)+(Constants!$N$15*H15)+(J15/B15*I15*Constants!$N$14),OR(C15="TSERS",K15=0),(J15*H15*Constants!$N$7)+(Constants!$N$8*H15)+(J15/B15*I15*Constants!$N$7),OR(C15="Law Enforcement",K15=0),(J15*H15*Constants!$N$28)+(Constants!$N$29*H15)+(J15/B15*I15*Constants!$N$28)),0)</f>
        <v>0</v>
      </c>
      <c r="M15" s="56">
        <f t="shared" si="3"/>
        <v>0</v>
      </c>
      <c r="N15" s="240">
        <f>'Cost-Share'!J9</f>
        <v>0</v>
      </c>
      <c r="O15" s="238">
        <f>'Cost-Share'!K9</f>
        <v>0</v>
      </c>
      <c r="P15" s="270">
        <f>'Cost-Share'!L9</f>
        <v>0</v>
      </c>
      <c r="Q15" s="23"/>
      <c r="R15" s="420">
        <f t="shared" si="4"/>
        <v>0</v>
      </c>
      <c r="S15" s="421">
        <f t="shared" si="5"/>
        <v>0</v>
      </c>
      <c r="T15" s="421">
        <f t="shared" si="6"/>
        <v>0</v>
      </c>
      <c r="U15" s="422" t="str">
        <f t="shared" si="0"/>
        <v>-</v>
      </c>
    </row>
    <row r="16" spans="2:21">
      <c r="B16" s="509"/>
      <c r="C16" s="423"/>
      <c r="D16" s="679"/>
      <c r="E16" s="424"/>
      <c r="F16" s="986">
        <v>0</v>
      </c>
      <c r="G16" s="987"/>
      <c r="H16" s="362">
        <f t="shared" si="1"/>
        <v>0</v>
      </c>
      <c r="I16" s="425">
        <v>0</v>
      </c>
      <c r="J16" s="27">
        <v>0</v>
      </c>
      <c r="K16" s="507">
        <f t="shared" si="2"/>
        <v>0</v>
      </c>
      <c r="L16" s="28" cm="1">
        <f t="array" ref="L16">ROUNDUP(_xlfn.IFS(ISBLANK(B16),0,OR(C16="ORP",K16=0),(J16*H16*Constants!$N$14)+(Constants!$N$15*H16)+(J16/B16*I16*Constants!$N$14),OR(C16="TSERS",K16=0),(J16*H16*Constants!$N$7)+(Constants!$N$8*H16)+(J16/B16*I16*Constants!$N$7),OR(C16="Law Enforcement",K16=0),(J16*H16*Constants!$N$28)+(Constants!$N$29*H16)+(J16/B16*I16*Constants!$N$28)),0)</f>
        <v>0</v>
      </c>
      <c r="M16" s="56">
        <f t="shared" si="3"/>
        <v>0</v>
      </c>
      <c r="N16" s="240">
        <f>'Cost-Share'!J10</f>
        <v>0</v>
      </c>
      <c r="O16" s="238">
        <f>'Cost-Share'!K10</f>
        <v>0</v>
      </c>
      <c r="P16" s="270">
        <f>'Cost-Share'!L10</f>
        <v>0</v>
      </c>
      <c r="Q16" s="23"/>
      <c r="R16" s="420">
        <f t="shared" si="4"/>
        <v>0</v>
      </c>
      <c r="S16" s="421">
        <f t="shared" si="5"/>
        <v>0</v>
      </c>
      <c r="T16" s="421">
        <f t="shared" si="6"/>
        <v>0</v>
      </c>
      <c r="U16" s="422" t="str">
        <f t="shared" si="0"/>
        <v>-</v>
      </c>
    </row>
    <row r="17" spans="2:21">
      <c r="B17" s="510"/>
      <c r="C17" s="423"/>
      <c r="D17" s="679"/>
      <c r="E17" s="424"/>
      <c r="F17" s="986">
        <v>0</v>
      </c>
      <c r="G17" s="987"/>
      <c r="H17" s="362">
        <f t="shared" si="1"/>
        <v>0</v>
      </c>
      <c r="I17" s="425">
        <v>0</v>
      </c>
      <c r="J17" s="27">
        <v>0</v>
      </c>
      <c r="K17" s="507">
        <f t="shared" si="2"/>
        <v>0</v>
      </c>
      <c r="L17" s="28" cm="1">
        <f t="array" ref="L17">ROUNDUP(_xlfn.IFS(ISBLANK(B17),0,OR(C17="ORP",K17=0),(J17*H17*Constants!$N$14)+(Constants!$N$15*H17)+(J17/B17*I17*Constants!$N$14),OR(C17="TSERS",K17=0),(J17*H17*Constants!$N$7)+(Constants!$N$8*H17)+(J17/B17*I17*Constants!$N$7),OR(C17="Law Enforcement",K17=0),(J17*H17*Constants!$N$28)+(Constants!$N$29*H17)+(J17/B17*I17*Constants!$N$28)),0)</f>
        <v>0</v>
      </c>
      <c r="M17" s="56">
        <f t="shared" si="3"/>
        <v>0</v>
      </c>
      <c r="N17" s="240">
        <f>'Cost-Share'!J11</f>
        <v>0</v>
      </c>
      <c r="O17" s="238">
        <f>'Cost-Share'!K11</f>
        <v>0</v>
      </c>
      <c r="P17" s="270">
        <f>'Cost-Share'!L11</f>
        <v>0</v>
      </c>
      <c r="Q17" s="23"/>
      <c r="R17" s="420">
        <f t="shared" si="4"/>
        <v>0</v>
      </c>
      <c r="S17" s="421">
        <f t="shared" si="5"/>
        <v>0</v>
      </c>
      <c r="T17" s="421">
        <f t="shared" si="6"/>
        <v>0</v>
      </c>
      <c r="U17" s="422" t="str">
        <f t="shared" si="0"/>
        <v>-</v>
      </c>
    </row>
    <row r="18" spans="2:21">
      <c r="B18" s="492"/>
      <c r="C18" s="423"/>
      <c r="D18" s="679"/>
      <c r="E18" s="418"/>
      <c r="F18" s="986">
        <v>0</v>
      </c>
      <c r="G18" s="987"/>
      <c r="H18" s="362">
        <f t="shared" si="1"/>
        <v>0</v>
      </c>
      <c r="I18" s="425">
        <v>0</v>
      </c>
      <c r="J18" s="27">
        <v>0</v>
      </c>
      <c r="K18" s="507">
        <f t="shared" si="2"/>
        <v>0</v>
      </c>
      <c r="L18" s="28" cm="1">
        <f t="array" ref="L18">ROUNDUP(_xlfn.IFS(ISBLANK(B18),0,OR(C18="ORP",K18=0),(J18*H18*Constants!$N$14)+(Constants!$N$15*H18)+(J18/B18*I18*Constants!$N$14),OR(C18="TSERS",K18=0),(J18*H18*Constants!$N$7)+(Constants!$N$8*H18)+(J18/B18*I18*Constants!$N$7),OR(C18="Law Enforcement",K18=0),(J18*H18*Constants!$N$28)+(Constants!$N$29*H18)+(J18/B18*I18*Constants!$N$28)),0)</f>
        <v>0</v>
      </c>
      <c r="M18" s="56">
        <f t="shared" si="3"/>
        <v>0</v>
      </c>
      <c r="N18" s="240">
        <f>'Cost-Share'!J12</f>
        <v>0</v>
      </c>
      <c r="O18" s="238">
        <f>'Cost-Share'!K12</f>
        <v>0</v>
      </c>
      <c r="P18" s="270">
        <f>'Cost-Share'!L12</f>
        <v>0</v>
      </c>
      <c r="Q18" s="23"/>
      <c r="R18" s="420">
        <f>K18+N18</f>
        <v>0</v>
      </c>
      <c r="S18" s="421">
        <f>L18+O18</f>
        <v>0</v>
      </c>
      <c r="T18" s="421">
        <f>M18+P18</f>
        <v>0</v>
      </c>
      <c r="U18" s="422" t="str">
        <f t="shared" si="0"/>
        <v>-</v>
      </c>
    </row>
    <row r="19" spans="2:21">
      <c r="B19" s="492"/>
      <c r="C19" s="423"/>
      <c r="D19" s="679"/>
      <c r="E19" s="418"/>
      <c r="F19" s="986">
        <v>0</v>
      </c>
      <c r="G19" s="987"/>
      <c r="H19" s="362">
        <f t="shared" si="1"/>
        <v>0</v>
      </c>
      <c r="I19" s="26">
        <v>0</v>
      </c>
      <c r="J19" s="27">
        <v>0</v>
      </c>
      <c r="K19" s="507">
        <f t="shared" si="2"/>
        <v>0</v>
      </c>
      <c r="L19" s="28" cm="1">
        <f t="array" ref="L19">ROUNDUP(_xlfn.IFS(ISBLANK(B19),0,OR(C19="ORP",K19=0),(J19*H19*Constants!$N$14)+(Constants!$N$15*H19)+(J19/B19*I19*Constants!$N$14),OR(C19="TSERS",K19=0),(J19*H19*Constants!$N$7)+(Constants!$N$8*H19)+(J19/B19*I19*Constants!$N$7),OR(C19="Law Enforcement",K19=0),(J19*H19*Constants!$N$28)+(Constants!$N$29*H19)+(J19/B19*I19*Constants!$N$28)),0)</f>
        <v>0</v>
      </c>
      <c r="M19" s="56">
        <f t="shared" si="3"/>
        <v>0</v>
      </c>
      <c r="N19" s="240">
        <f>'Cost-Share'!J13</f>
        <v>0</v>
      </c>
      <c r="O19" s="238">
        <f>'Cost-Share'!K13</f>
        <v>0</v>
      </c>
      <c r="P19" s="270">
        <f>'Cost-Share'!L13</f>
        <v>0</v>
      </c>
      <c r="Q19" s="23"/>
      <c r="R19" s="420">
        <f t="shared" ref="R19:R23" si="7">K19+N19</f>
        <v>0</v>
      </c>
      <c r="S19" s="421">
        <f t="shared" ref="S19:S23" si="8">L19+O19</f>
        <v>0</v>
      </c>
      <c r="T19" s="421">
        <f t="shared" ref="T19:T23" si="9">M19+P19</f>
        <v>0</v>
      </c>
      <c r="U19" s="422" t="str">
        <f t="shared" si="0"/>
        <v>-</v>
      </c>
    </row>
    <row r="20" spans="2:21">
      <c r="B20" s="492"/>
      <c r="C20" s="423"/>
      <c r="D20" s="679"/>
      <c r="E20" s="426"/>
      <c r="F20" s="986">
        <v>0</v>
      </c>
      <c r="G20" s="987"/>
      <c r="H20" s="362">
        <f t="shared" si="1"/>
        <v>0</v>
      </c>
      <c r="I20" s="427">
        <v>0</v>
      </c>
      <c r="J20" s="27">
        <v>0</v>
      </c>
      <c r="K20" s="507">
        <f t="shared" si="2"/>
        <v>0</v>
      </c>
      <c r="L20" s="28" cm="1">
        <f t="array" ref="L20">ROUNDUP(_xlfn.IFS(ISBLANK(B20),0,OR(C20="ORP",K20=0),(J20*H20*Constants!$N$14)+(Constants!$N$15*H20)+(J20/B20*I20*Constants!$N$14),OR(C20="TSERS",K20=0),(J20*H20*Constants!$N$7)+(Constants!$N$8*H20)+(J20/B20*I20*Constants!$N$7),OR(C20="Law Enforcement",K20=0),(J20*H20*Constants!$N$28)+(Constants!$N$29*H20)+(J20/B20*I20*Constants!$N$28)),0)</f>
        <v>0</v>
      </c>
      <c r="M20" s="56">
        <f t="shared" si="3"/>
        <v>0</v>
      </c>
      <c r="N20" s="240">
        <f>'Cost-Share'!J14</f>
        <v>0</v>
      </c>
      <c r="O20" s="238">
        <f>'Cost-Share'!K14</f>
        <v>0</v>
      </c>
      <c r="P20" s="270">
        <f>'Cost-Share'!L14</f>
        <v>0</v>
      </c>
      <c r="Q20" s="23"/>
      <c r="R20" s="420">
        <f t="shared" si="7"/>
        <v>0</v>
      </c>
      <c r="S20" s="421">
        <f t="shared" si="8"/>
        <v>0</v>
      </c>
      <c r="T20" s="421">
        <f t="shared" si="9"/>
        <v>0</v>
      </c>
      <c r="U20" s="422" t="str">
        <f t="shared" si="0"/>
        <v>-</v>
      </c>
    </row>
    <row r="21" spans="2:21">
      <c r="B21" s="492"/>
      <c r="C21" s="423"/>
      <c r="D21" s="679"/>
      <c r="E21" s="426"/>
      <c r="F21" s="992">
        <v>0</v>
      </c>
      <c r="G21" s="993"/>
      <c r="H21" s="362">
        <f t="shared" si="1"/>
        <v>0</v>
      </c>
      <c r="I21" s="428">
        <v>0</v>
      </c>
      <c r="J21" s="27">
        <v>0</v>
      </c>
      <c r="K21" s="507">
        <f t="shared" si="2"/>
        <v>0</v>
      </c>
      <c r="L21" s="28" cm="1">
        <f t="array" ref="L21">ROUNDUP(_xlfn.IFS(ISBLANK(B21),0,OR(C21="ORP",K21=0),(J21*H21*Constants!$N$14)+(Constants!$N$15*H21)+(J21/B21*I21*Constants!$N$14),OR(C21="TSERS",K21=0),(J21*H21*Constants!$N$7)+(Constants!$N$8*H21)+(J21/B21*I21*Constants!$N$7),OR(C21="Law Enforcement",K21=0),(J21*H21*Constants!$N$28)+(Constants!$N$29*H21)+(J21/B21*I21*Constants!$N$28)),0)</f>
        <v>0</v>
      </c>
      <c r="M21" s="56">
        <f t="shared" si="3"/>
        <v>0</v>
      </c>
      <c r="N21" s="240">
        <f>'Cost-Share'!J15</f>
        <v>0</v>
      </c>
      <c r="O21" s="238">
        <f>'Cost-Share'!K15</f>
        <v>0</v>
      </c>
      <c r="P21" s="270">
        <f>'Cost-Share'!L15</f>
        <v>0</v>
      </c>
      <c r="Q21" s="23"/>
      <c r="R21" s="420">
        <f t="shared" si="7"/>
        <v>0</v>
      </c>
      <c r="S21" s="421">
        <f t="shared" si="8"/>
        <v>0</v>
      </c>
      <c r="T21" s="421">
        <f t="shared" si="9"/>
        <v>0</v>
      </c>
      <c r="U21" s="422" t="str">
        <f t="shared" si="0"/>
        <v>-</v>
      </c>
    </row>
    <row r="22" spans="2:21">
      <c r="B22" s="509"/>
      <c r="C22" s="423"/>
      <c r="D22" s="679"/>
      <c r="E22" s="426" t="s">
        <v>154</v>
      </c>
      <c r="F22" s="992">
        <v>0</v>
      </c>
      <c r="G22" s="993"/>
      <c r="H22" s="362">
        <f t="shared" si="1"/>
        <v>0</v>
      </c>
      <c r="I22" s="429">
        <v>0</v>
      </c>
      <c r="J22" s="27">
        <v>0</v>
      </c>
      <c r="K22" s="507">
        <f t="shared" si="2"/>
        <v>0</v>
      </c>
      <c r="L22" s="28" cm="1">
        <f t="array" ref="L22">ROUNDUP(_xlfn.IFS(ISBLANK(B22),0,OR(C22="ORP",K22=0),(J22*H22*Constants!$N$14)+(Constants!$N$15*H22)+(J22/B22*I22*Constants!$N$14),OR(C22="TSERS",K22=0),(J22*H22*Constants!$N$7)+(Constants!$N$8*H22)+(J22/B22*I22*Constants!$N$7),OR(C22="Law Enforcement",K22=0),(J22*H22*Constants!$N$28)+(Constants!$N$29*H22)+(J22/B22*I22*Constants!$N$28)),0)</f>
        <v>0</v>
      </c>
      <c r="M22" s="56">
        <f t="shared" si="3"/>
        <v>0</v>
      </c>
      <c r="N22" s="240">
        <f>'Cost-Share'!J16</f>
        <v>0</v>
      </c>
      <c r="O22" s="238">
        <f>'Cost-Share'!K16</f>
        <v>0</v>
      </c>
      <c r="P22" s="270">
        <f>'Cost-Share'!L16</f>
        <v>0</v>
      </c>
      <c r="Q22" s="23"/>
      <c r="R22" s="420">
        <f t="shared" si="7"/>
        <v>0</v>
      </c>
      <c r="S22" s="421">
        <f t="shared" si="8"/>
        <v>0</v>
      </c>
      <c r="T22" s="421">
        <f t="shared" si="9"/>
        <v>0</v>
      </c>
      <c r="U22" s="422" t="str">
        <f t="shared" si="0"/>
        <v>-</v>
      </c>
    </row>
    <row r="23" spans="2:21" ht="14.25" customHeight="1">
      <c r="B23" s="510"/>
      <c r="C23" s="430"/>
      <c r="D23" s="680"/>
      <c r="E23" s="431"/>
      <c r="F23" s="994">
        <v>0</v>
      </c>
      <c r="G23" s="995"/>
      <c r="H23" s="362">
        <f t="shared" si="1"/>
        <v>0</v>
      </c>
      <c r="I23" s="432">
        <v>0</v>
      </c>
      <c r="J23" s="433">
        <v>0</v>
      </c>
      <c r="K23" s="507">
        <f t="shared" si="2"/>
        <v>0</v>
      </c>
      <c r="L23" s="28" cm="1">
        <f t="array" ref="L23">ROUNDUP(_xlfn.IFS(ISBLANK(B23),0,OR(C23="ORP",K23=0),(J23*H23*Constants!$N$14)+(Constants!$N$15*H23)+(J23/B23*I23*Constants!$N$14),OR(C23="TSERS",K23=0),(J23*H23*Constants!$N$7)+(Constants!$N$8*H23)+(J23/B23*I23*Constants!$N$7),OR(C23="Law Enforcement",K23=0),(J23*H23*Constants!$N$28)+(Constants!$N$29*H23)+(J23/B23*I23*Constants!$N$28)),0)</f>
        <v>0</v>
      </c>
      <c r="M23" s="56">
        <f t="shared" si="3"/>
        <v>0</v>
      </c>
      <c r="N23" s="240">
        <f>'Cost-Share'!J17</f>
        <v>0</v>
      </c>
      <c r="O23" s="238">
        <f>'Cost-Share'!K17</f>
        <v>0</v>
      </c>
      <c r="P23" s="270">
        <f>'Cost-Share'!L17</f>
        <v>0</v>
      </c>
      <c r="Q23" s="23"/>
      <c r="R23" s="420">
        <f t="shared" si="7"/>
        <v>0</v>
      </c>
      <c r="S23" s="421">
        <f t="shared" si="8"/>
        <v>0</v>
      </c>
      <c r="T23" s="421">
        <f t="shared" si="9"/>
        <v>0</v>
      </c>
      <c r="U23" s="422" t="str">
        <f t="shared" si="0"/>
        <v>-</v>
      </c>
    </row>
    <row r="24" spans="2:21" ht="15" thickBot="1">
      <c r="B24" s="990" t="s">
        <v>155</v>
      </c>
      <c r="C24" s="991"/>
      <c r="D24" s="991"/>
      <c r="E24" s="991"/>
      <c r="F24" s="991"/>
      <c r="G24" s="991"/>
      <c r="H24" s="991"/>
      <c r="I24" s="991"/>
      <c r="J24" s="991"/>
      <c r="K24" s="276">
        <f t="shared" ref="K24:P24" si="10">SUM(K12:K23)</f>
        <v>0</v>
      </c>
      <c r="L24" s="277">
        <f t="shared" si="10"/>
        <v>0</v>
      </c>
      <c r="M24" s="278">
        <f>SUM(M12:M23)</f>
        <v>0</v>
      </c>
      <c r="N24" s="272">
        <f t="shared" si="10"/>
        <v>0</v>
      </c>
      <c r="O24" s="273">
        <f t="shared" si="10"/>
        <v>0</v>
      </c>
      <c r="P24" s="274">
        <f t="shared" si="10"/>
        <v>0</v>
      </c>
      <c r="Q24" s="23"/>
      <c r="R24" s="434">
        <f>SUM(R12:R23)</f>
        <v>0</v>
      </c>
      <c r="S24" s="435">
        <f>SUM(S12:S23)</f>
        <v>0</v>
      </c>
      <c r="T24" s="435">
        <f>SUM(T12:T23)</f>
        <v>0</v>
      </c>
      <c r="U24" s="436"/>
    </row>
    <row r="25" spans="2:21" ht="7.5" customHeight="1">
      <c r="B25" s="960"/>
      <c r="C25" s="960"/>
      <c r="D25" s="960"/>
      <c r="E25" s="960"/>
      <c r="F25" s="960"/>
      <c r="G25" s="960"/>
      <c r="H25" s="960"/>
      <c r="I25" s="960"/>
      <c r="J25" s="960"/>
      <c r="K25" s="960"/>
      <c r="L25" s="960"/>
      <c r="M25" s="960"/>
      <c r="Q25" s="23"/>
    </row>
    <row r="26" spans="2:21" s="398" customFormat="1" ht="15.75" customHeight="1" thickBot="1">
      <c r="B26" s="985" t="s">
        <v>156</v>
      </c>
      <c r="C26" s="985"/>
      <c r="D26" s="985"/>
      <c r="E26" s="985"/>
      <c r="F26" s="985"/>
      <c r="G26" s="985"/>
      <c r="H26" s="985"/>
      <c r="I26" s="985"/>
      <c r="J26" s="985"/>
      <c r="K26" s="985"/>
      <c r="L26" s="985"/>
      <c r="M26" s="985"/>
      <c r="N26" s="985"/>
      <c r="O26" s="985"/>
      <c r="P26" s="985"/>
      <c r="Q26" s="23"/>
      <c r="R26" s="974"/>
      <c r="S26" s="974"/>
      <c r="T26" s="974"/>
      <c r="U26" s="974"/>
    </row>
    <row r="27" spans="2:21" ht="7.5" customHeight="1">
      <c r="B27" s="960"/>
      <c r="C27" s="960"/>
      <c r="D27" s="960"/>
      <c r="E27" s="960"/>
      <c r="F27" s="960"/>
      <c r="G27" s="960"/>
      <c r="H27" s="960"/>
      <c r="I27" s="960"/>
      <c r="J27" s="960"/>
      <c r="K27" s="960"/>
      <c r="L27" s="960"/>
      <c r="M27" s="960"/>
      <c r="Q27" s="23"/>
    </row>
    <row r="28" spans="2:21" ht="28.5" customHeight="1">
      <c r="B28" s="988" t="s">
        <v>157</v>
      </c>
      <c r="C28" s="989"/>
      <c r="D28" s="989"/>
      <c r="E28" s="989"/>
      <c r="F28" s="989"/>
      <c r="G28" s="989"/>
      <c r="H28" s="989"/>
      <c r="I28" s="989"/>
      <c r="J28" s="989"/>
      <c r="K28" s="989"/>
      <c r="L28" s="989"/>
      <c r="M28" s="1089"/>
      <c r="N28" s="1043" t="s">
        <v>134</v>
      </c>
      <c r="O28" s="1044"/>
      <c r="P28" s="1045"/>
      <c r="Q28" s="410"/>
      <c r="R28" s="975" t="s">
        <v>135</v>
      </c>
      <c r="S28" s="976"/>
      <c r="T28" s="976"/>
      <c r="U28" s="977"/>
    </row>
    <row r="29" spans="2:21" ht="29.25" customHeight="1">
      <c r="B29" s="980" t="s">
        <v>158</v>
      </c>
      <c r="C29" s="981"/>
      <c r="D29" s="1519" t="s">
        <v>159</v>
      </c>
      <c r="E29" s="1520"/>
      <c r="F29" s="1520"/>
      <c r="G29" s="1521"/>
      <c r="H29" s="229" t="s">
        <v>140</v>
      </c>
      <c r="I29" s="437" t="s">
        <v>160</v>
      </c>
      <c r="J29" s="438" t="s">
        <v>143</v>
      </c>
      <c r="K29" s="439" t="s">
        <v>161</v>
      </c>
      <c r="L29" s="439" t="s">
        <v>145</v>
      </c>
      <c r="M29" s="530" t="s">
        <v>146</v>
      </c>
      <c r="N29" s="263" t="s">
        <v>147</v>
      </c>
      <c r="O29" s="239" t="s">
        <v>148</v>
      </c>
      <c r="P29" s="271" t="s">
        <v>149</v>
      </c>
      <c r="Q29" s="23"/>
      <c r="R29" s="414" t="s">
        <v>150</v>
      </c>
      <c r="S29" s="415" t="s">
        <v>151</v>
      </c>
      <c r="T29" s="415" t="s">
        <v>152</v>
      </c>
      <c r="U29" s="441" t="s">
        <v>153</v>
      </c>
    </row>
    <row r="30" spans="2:21" ht="15" customHeight="1">
      <c r="B30" s="982" t="s">
        <v>162</v>
      </c>
      <c r="C30" s="983"/>
      <c r="D30" s="1522" t="s">
        <v>154</v>
      </c>
      <c r="E30" s="1523"/>
      <c r="F30" s="1523"/>
      <c r="G30" s="1524"/>
      <c r="H30" s="443">
        <v>0</v>
      </c>
      <c r="I30" s="546">
        <f>H30/12</f>
        <v>0</v>
      </c>
      <c r="J30" s="27">
        <v>0</v>
      </c>
      <c r="K30" s="337">
        <f>J30*I30</f>
        <v>0</v>
      </c>
      <c r="L30" s="34">
        <f>ROUNDUP(IF(I30=0, Constants!$N$21*H30, 0) + (K30*Constants!$N$20) + (Constants!$N$21*ROUNDUP(H30, 0)), 0)</f>
        <v>0</v>
      </c>
      <c r="M30" s="138">
        <f>(+K30+L30)</f>
        <v>0</v>
      </c>
      <c r="N30" s="240">
        <f>'Cost-Share'!J21</f>
        <v>0</v>
      </c>
      <c r="O30" s="238">
        <f>'Cost-Share'!K21</f>
        <v>0</v>
      </c>
      <c r="P30" s="270">
        <f>'Cost-Share'!L21</f>
        <v>0</v>
      </c>
      <c r="Q30" s="23"/>
      <c r="R30" s="420">
        <f t="shared" ref="R30:T31" si="11">K30+N30</f>
        <v>0</v>
      </c>
      <c r="S30" s="421">
        <f t="shared" si="11"/>
        <v>0</v>
      </c>
      <c r="T30" s="421">
        <f t="shared" si="11"/>
        <v>0</v>
      </c>
      <c r="U30" s="422" t="str">
        <f>IFERROR((P30/T30),"-")</f>
        <v>-</v>
      </c>
    </row>
    <row r="31" spans="2:21" ht="15.75" customHeight="1" thickBot="1">
      <c r="B31" s="978" t="s">
        <v>162</v>
      </c>
      <c r="C31" s="979"/>
      <c r="D31" s="1525" t="s">
        <v>154</v>
      </c>
      <c r="E31" s="1526"/>
      <c r="F31" s="1526"/>
      <c r="G31" s="1527"/>
      <c r="H31" s="531">
        <v>0</v>
      </c>
      <c r="I31" s="547">
        <f>H31/12</f>
        <v>0</v>
      </c>
      <c r="J31" s="533">
        <v>0</v>
      </c>
      <c r="K31" s="534">
        <f>J31*I31</f>
        <v>0</v>
      </c>
      <c r="L31" s="697">
        <f>ROUNDUP(IF(I31=0, Constants!$N$21*H31, 0) + (K31*Constants!$N$20) + (Constants!$N$21*ROUNDUP(H31, 0)), 0)</f>
        <v>0</v>
      </c>
      <c r="M31" s="535">
        <f>(+K31+L31)</f>
        <v>0</v>
      </c>
      <c r="N31" s="538">
        <f>'Cost-Share'!J22</f>
        <v>0</v>
      </c>
      <c r="O31" s="539">
        <f>'Cost-Share'!K22</f>
        <v>0</v>
      </c>
      <c r="P31" s="540">
        <f>'Cost-Share'!L22</f>
        <v>0</v>
      </c>
      <c r="Q31" s="23"/>
      <c r="R31" s="497">
        <f t="shared" si="11"/>
        <v>0</v>
      </c>
      <c r="S31" s="498">
        <f t="shared" si="11"/>
        <v>0</v>
      </c>
      <c r="T31" s="498">
        <f t="shared" si="11"/>
        <v>0</v>
      </c>
      <c r="U31" s="499" t="str">
        <f>IFERROR((P31/T31),"-")</f>
        <v>-</v>
      </c>
    </row>
    <row r="32" spans="2:21" ht="7.5" customHeight="1">
      <c r="B32" s="960"/>
      <c r="C32" s="960"/>
      <c r="D32" s="960"/>
      <c r="E32" s="960"/>
      <c r="F32" s="960"/>
      <c r="G32" s="960"/>
      <c r="H32" s="960"/>
      <c r="I32" s="960"/>
      <c r="J32" s="960"/>
      <c r="K32" s="960"/>
      <c r="L32" s="960"/>
      <c r="M32" s="960"/>
      <c r="Q32" s="23"/>
    </row>
    <row r="33" spans="2:23" s="398" customFormat="1" ht="15.75" customHeight="1" thickBot="1">
      <c r="B33" s="985" t="s">
        <v>163</v>
      </c>
      <c r="C33" s="985"/>
      <c r="D33" s="985"/>
      <c r="E33" s="985"/>
      <c r="F33" s="985"/>
      <c r="G33" s="985"/>
      <c r="H33" s="985"/>
      <c r="I33" s="985"/>
      <c r="J33" s="985"/>
      <c r="K33" s="985"/>
      <c r="L33" s="985"/>
      <c r="M33" s="985"/>
      <c r="N33" s="985"/>
      <c r="O33" s="985"/>
      <c r="P33" s="985"/>
      <c r="Q33" s="23"/>
      <c r="R33" s="974"/>
      <c r="S33" s="974"/>
      <c r="T33" s="974"/>
      <c r="U33" s="974"/>
    </row>
    <row r="34" spans="2:23" ht="7.5" customHeight="1" thickBot="1">
      <c r="B34" s="960"/>
      <c r="C34" s="960"/>
      <c r="D34" s="960"/>
      <c r="E34" s="960"/>
      <c r="F34" s="960"/>
      <c r="G34" s="960"/>
      <c r="H34" s="960"/>
      <c r="I34" s="960"/>
      <c r="J34" s="960"/>
      <c r="K34" s="960"/>
      <c r="L34" s="960"/>
      <c r="M34" s="960"/>
      <c r="Q34" s="23"/>
    </row>
    <row r="35" spans="2:23" ht="28.5" customHeight="1">
      <c r="B35" s="1098" t="s">
        <v>164</v>
      </c>
      <c r="C35" s="1099"/>
      <c r="D35" s="1099"/>
      <c r="E35" s="1099"/>
      <c r="F35" s="1099"/>
      <c r="G35" s="1099"/>
      <c r="H35" s="1099"/>
      <c r="I35" s="1099"/>
      <c r="J35" s="1099"/>
      <c r="K35" s="1099"/>
      <c r="L35" s="1099"/>
      <c r="M35" s="1100"/>
      <c r="N35" s="1093" t="s">
        <v>134</v>
      </c>
      <c r="O35" s="1094"/>
      <c r="P35" s="1095"/>
      <c r="Q35" s="410"/>
      <c r="R35" s="975" t="s">
        <v>135</v>
      </c>
      <c r="S35" s="976"/>
      <c r="T35" s="976"/>
      <c r="U35" s="977"/>
      <c r="V35" s="529"/>
      <c r="W35" s="528"/>
    </row>
    <row r="36" spans="2:23" ht="29.25" customHeight="1">
      <c r="B36" s="980" t="s">
        <v>158</v>
      </c>
      <c r="C36" s="981"/>
      <c r="D36" s="1528" t="s">
        <v>159</v>
      </c>
      <c r="E36" s="1529"/>
      <c r="F36" s="1529"/>
      <c r="G36" s="1530"/>
      <c r="H36" s="1001" t="s">
        <v>165</v>
      </c>
      <c r="I36" s="1002"/>
      <c r="J36" s="438" t="s">
        <v>166</v>
      </c>
      <c r="K36" s="439" t="s">
        <v>161</v>
      </c>
      <c r="L36" s="439" t="s">
        <v>145</v>
      </c>
      <c r="M36" s="440" t="s">
        <v>146</v>
      </c>
      <c r="N36" s="263" t="s">
        <v>147</v>
      </c>
      <c r="O36" s="239" t="s">
        <v>148</v>
      </c>
      <c r="P36" s="271" t="s">
        <v>149</v>
      </c>
      <c r="Q36" s="23"/>
      <c r="R36" s="414" t="s">
        <v>150</v>
      </c>
      <c r="S36" s="415" t="s">
        <v>151</v>
      </c>
      <c r="T36" s="415" t="s">
        <v>152</v>
      </c>
      <c r="U36" s="416" t="s">
        <v>153</v>
      </c>
    </row>
    <row r="37" spans="2:23" ht="15" customHeight="1">
      <c r="B37" s="982">
        <v>131010</v>
      </c>
      <c r="C37" s="983"/>
      <c r="D37" s="1522" t="s">
        <v>154</v>
      </c>
      <c r="E37" s="1523"/>
      <c r="F37" s="1523"/>
      <c r="G37" s="1524"/>
      <c r="H37" s="1003">
        <v>0</v>
      </c>
      <c r="I37" s="1004"/>
      <c r="J37" s="27">
        <v>0</v>
      </c>
      <c r="K37" s="34">
        <f>ROUNDUP((H37*J37),0)</f>
        <v>0</v>
      </c>
      <c r="L37" s="695">
        <f>ROUNDUP((K37*Constants!$N$20),0)</f>
        <v>0</v>
      </c>
      <c r="M37" s="59">
        <f>(+K37+L37)</f>
        <v>0</v>
      </c>
      <c r="N37" s="240">
        <f>'Cost-Share'!J25</f>
        <v>0</v>
      </c>
      <c r="O37" s="238">
        <f>'Cost-Share'!K25</f>
        <v>0</v>
      </c>
      <c r="P37" s="270">
        <f>'Cost-Share'!L25</f>
        <v>0</v>
      </c>
      <c r="Q37" s="23"/>
      <c r="R37" s="420">
        <f t="shared" ref="R37:T38" si="12">K37+N37</f>
        <v>0</v>
      </c>
      <c r="S37" s="421">
        <f t="shared" si="12"/>
        <v>0</v>
      </c>
      <c r="T37" s="421">
        <f t="shared" si="12"/>
        <v>0</v>
      </c>
      <c r="U37" s="422" t="str">
        <f>IFERROR((P37/T37),"-")</f>
        <v>-</v>
      </c>
    </row>
    <row r="38" spans="2:23" ht="15.75" customHeight="1" thickBot="1">
      <c r="B38" s="978">
        <v>131010</v>
      </c>
      <c r="C38" s="979"/>
      <c r="D38" s="1525" t="s">
        <v>154</v>
      </c>
      <c r="E38" s="1526"/>
      <c r="F38" s="1526"/>
      <c r="G38" s="1527"/>
      <c r="H38" s="1096">
        <v>0</v>
      </c>
      <c r="I38" s="1097"/>
      <c r="J38" s="445">
        <v>0</v>
      </c>
      <c r="K38" s="34">
        <f>ROUNDUP((H38*J38),0)</f>
        <v>0</v>
      </c>
      <c r="L38" s="31">
        <f>ROUNDUP((K38*Constants!$N$20),0)</f>
        <v>0</v>
      </c>
      <c r="M38" s="61">
        <f>(+K38+L38)</f>
        <v>0</v>
      </c>
      <c r="N38" s="240">
        <f>'Cost-Share'!J26</f>
        <v>0</v>
      </c>
      <c r="O38" s="238">
        <f>'Cost-Share'!K26</f>
        <v>0</v>
      </c>
      <c r="P38" s="270">
        <f>'Cost-Share'!L26</f>
        <v>0</v>
      </c>
      <c r="Q38" s="23"/>
      <c r="R38" s="420">
        <f t="shared" si="12"/>
        <v>0</v>
      </c>
      <c r="S38" s="421">
        <f t="shared" si="12"/>
        <v>0</v>
      </c>
      <c r="T38" s="421">
        <f t="shared" si="12"/>
        <v>0</v>
      </c>
      <c r="U38" s="422" t="str">
        <f>IFERROR((P38/T38),"-")</f>
        <v>-</v>
      </c>
    </row>
    <row r="39" spans="2:23" ht="15" thickBot="1">
      <c r="B39" s="990" t="s">
        <v>167</v>
      </c>
      <c r="C39" s="991"/>
      <c r="D39" s="991"/>
      <c r="E39" s="991"/>
      <c r="F39" s="991"/>
      <c r="G39" s="991"/>
      <c r="H39" s="991"/>
      <c r="I39" s="991"/>
      <c r="J39" s="991"/>
      <c r="K39" s="276">
        <f>SUM(K30:K38)</f>
        <v>0</v>
      </c>
      <c r="L39" s="277">
        <f>SUM(L30:L38)</f>
        <v>0</v>
      </c>
      <c r="M39" s="279">
        <f>SUM(M30:M38)</f>
        <v>0</v>
      </c>
      <c r="N39" s="288">
        <f t="shared" ref="N39:O39" si="13">SUM(N30:N38)</f>
        <v>0</v>
      </c>
      <c r="O39" s="282">
        <f t="shared" si="13"/>
        <v>0</v>
      </c>
      <c r="P39" s="283">
        <f>SUM(P30:P38)</f>
        <v>0</v>
      </c>
      <c r="Q39" s="23"/>
      <c r="R39" s="434">
        <f>SUM(R30:R38)</f>
        <v>0</v>
      </c>
      <c r="S39" s="446">
        <f>SUM(S30:S38)</f>
        <v>0</v>
      </c>
      <c r="T39" s="446">
        <f>SUM(T30:T38)</f>
        <v>0</v>
      </c>
      <c r="U39" s="447"/>
    </row>
    <row r="40" spans="2:23" ht="7.5" customHeight="1">
      <c r="B40" s="960"/>
      <c r="C40" s="960"/>
      <c r="D40" s="960"/>
      <c r="E40" s="960"/>
      <c r="F40" s="960"/>
      <c r="G40" s="960"/>
      <c r="H40" s="960"/>
      <c r="I40" s="960"/>
      <c r="J40" s="960"/>
      <c r="K40" s="960"/>
      <c r="L40" s="960"/>
      <c r="M40" s="960"/>
      <c r="Q40" s="23"/>
    </row>
    <row r="41" spans="2:23" s="398" customFormat="1" ht="15.75" customHeight="1" thickBot="1">
      <c r="B41" s="985" t="s">
        <v>168</v>
      </c>
      <c r="C41" s="985"/>
      <c r="D41" s="985"/>
      <c r="E41" s="985"/>
      <c r="F41" s="985"/>
      <c r="G41" s="985"/>
      <c r="H41" s="985"/>
      <c r="I41" s="985"/>
      <c r="J41" s="985"/>
      <c r="K41" s="985"/>
      <c r="L41" s="985"/>
      <c r="M41" s="985"/>
      <c r="N41" s="985"/>
      <c r="O41" s="985"/>
      <c r="P41" s="985"/>
      <c r="Q41" s="23"/>
      <c r="R41" s="974"/>
      <c r="S41" s="974"/>
      <c r="T41" s="974"/>
      <c r="U41" s="974"/>
    </row>
    <row r="42" spans="2:23" ht="7.5" customHeight="1">
      <c r="B42" s="960"/>
      <c r="C42" s="960"/>
      <c r="D42" s="960"/>
      <c r="E42" s="960"/>
      <c r="F42" s="960"/>
      <c r="G42" s="960"/>
      <c r="H42" s="960"/>
      <c r="I42" s="960"/>
      <c r="J42" s="960"/>
      <c r="K42" s="960"/>
      <c r="L42" s="960"/>
      <c r="M42" s="960"/>
      <c r="Q42" s="23"/>
    </row>
    <row r="43" spans="2:23" ht="42" customHeight="1">
      <c r="B43" s="1068" t="s">
        <v>169</v>
      </c>
      <c r="C43" s="1069"/>
      <c r="D43" s="1069"/>
      <c r="E43" s="1069"/>
      <c r="F43" s="1069"/>
      <c r="G43" s="1069"/>
      <c r="H43" s="1069"/>
      <c r="I43" s="1069"/>
      <c r="J43" s="1069"/>
      <c r="K43" s="1069"/>
      <c r="L43" s="1069"/>
      <c r="M43" s="1069"/>
      <c r="N43" s="1063" t="s">
        <v>134</v>
      </c>
      <c r="O43" s="1064"/>
      <c r="P43" s="1065"/>
      <c r="Q43" s="448"/>
      <c r="R43" s="1080" t="s">
        <v>135</v>
      </c>
      <c r="S43" s="1081"/>
      <c r="T43" s="1081"/>
      <c r="U43" s="1082"/>
    </row>
    <row r="44" spans="2:23" ht="29.25" customHeight="1">
      <c r="B44" s="980" t="s">
        <v>158</v>
      </c>
      <c r="C44" s="981"/>
      <c r="D44" s="1528" t="s">
        <v>159</v>
      </c>
      <c r="E44" s="1529"/>
      <c r="F44" s="1529"/>
      <c r="G44" s="1531"/>
      <c r="H44" s="449" t="s">
        <v>170</v>
      </c>
      <c r="I44" s="449" t="s">
        <v>171</v>
      </c>
      <c r="J44" s="438" t="s">
        <v>166</v>
      </c>
      <c r="K44" s="450" t="s">
        <v>144</v>
      </c>
      <c r="L44" s="450" t="s">
        <v>145</v>
      </c>
      <c r="M44" s="451" t="s">
        <v>146</v>
      </c>
      <c r="N44" s="263" t="s">
        <v>147</v>
      </c>
      <c r="O44" s="239" t="s">
        <v>148</v>
      </c>
      <c r="P44" s="271" t="s">
        <v>149</v>
      </c>
      <c r="Q44" s="23"/>
      <c r="R44" s="452" t="s">
        <v>150</v>
      </c>
      <c r="S44" s="415" t="s">
        <v>151</v>
      </c>
      <c r="T44" s="415" t="s">
        <v>152</v>
      </c>
      <c r="U44" s="441" t="s">
        <v>153</v>
      </c>
    </row>
    <row r="45" spans="2:23" ht="15" customHeight="1">
      <c r="B45" s="982">
        <v>135050</v>
      </c>
      <c r="C45" s="983"/>
      <c r="D45" s="1532" t="s">
        <v>172</v>
      </c>
      <c r="E45" s="1533"/>
      <c r="F45" s="1533"/>
      <c r="G45" s="1534"/>
      <c r="H45" s="453">
        <v>0</v>
      </c>
      <c r="I45" s="453">
        <v>0</v>
      </c>
      <c r="J45" s="454">
        <v>0</v>
      </c>
      <c r="K45" s="25">
        <f>(+H45+I45)*J45</f>
        <v>0</v>
      </c>
      <c r="L45" s="25">
        <f>ROUNDUP((((I45*J45)*Constants!$N$20)+((H45*J45)*Constants!$N$18)),0)</f>
        <v>0</v>
      </c>
      <c r="M45" s="133">
        <f>(+K45+L45)</f>
        <v>0</v>
      </c>
      <c r="N45" s="240">
        <f>'Cost-Share'!J30</f>
        <v>0</v>
      </c>
      <c r="O45" s="238">
        <f>'Cost-Share'!K30</f>
        <v>0</v>
      </c>
      <c r="P45" s="270">
        <f>'Cost-Share'!L30</f>
        <v>0</v>
      </c>
      <c r="Q45" s="23"/>
      <c r="R45" s="455">
        <f t="shared" ref="R45:T48" si="14">K45+N45</f>
        <v>0</v>
      </c>
      <c r="S45" s="421">
        <f t="shared" si="14"/>
        <v>0</v>
      </c>
      <c r="T45" s="421">
        <f t="shared" si="14"/>
        <v>0</v>
      </c>
      <c r="U45" s="422" t="str">
        <f>IFERROR((P45/T45),"-")</f>
        <v>-</v>
      </c>
    </row>
    <row r="46" spans="2:23" ht="15" customHeight="1">
      <c r="B46" s="982">
        <v>135050</v>
      </c>
      <c r="C46" s="983"/>
      <c r="D46" s="1532" t="s">
        <v>172</v>
      </c>
      <c r="E46" s="1533"/>
      <c r="F46" s="1533"/>
      <c r="G46" s="1534"/>
      <c r="H46" s="456">
        <v>0</v>
      </c>
      <c r="I46" s="456">
        <v>0</v>
      </c>
      <c r="J46" s="454">
        <v>0</v>
      </c>
      <c r="K46" s="25">
        <f t="shared" ref="K46:K48" si="15">(+H46+I46)*J46</f>
        <v>0</v>
      </c>
      <c r="L46" s="25">
        <f>ROUNDUP((((I46*J46)*Constants!$N$20)+((H46*J46)*Constants!$N$18)),0)</f>
        <v>0</v>
      </c>
      <c r="M46" s="134">
        <f>(+K46+L46)</f>
        <v>0</v>
      </c>
      <c r="N46" s="240">
        <f>'Cost-Share'!J31</f>
        <v>0</v>
      </c>
      <c r="O46" s="238">
        <f>'Cost-Share'!K31</f>
        <v>0</v>
      </c>
      <c r="P46" s="270">
        <f>'Cost-Share'!L31</f>
        <v>0</v>
      </c>
      <c r="Q46" s="23"/>
      <c r="R46" s="455">
        <f t="shared" si="14"/>
        <v>0</v>
      </c>
      <c r="S46" s="421">
        <f t="shared" si="14"/>
        <v>0</v>
      </c>
      <c r="T46" s="421">
        <f t="shared" si="14"/>
        <v>0</v>
      </c>
      <c r="U46" s="422" t="str">
        <f>IFERROR((P46/T46),"-")</f>
        <v>-</v>
      </c>
    </row>
    <row r="47" spans="2:23" ht="15" customHeight="1">
      <c r="B47" s="982">
        <v>135050</v>
      </c>
      <c r="C47" s="983"/>
      <c r="D47" s="1532" t="s">
        <v>173</v>
      </c>
      <c r="E47" s="1533"/>
      <c r="F47" s="1533"/>
      <c r="G47" s="1534"/>
      <c r="H47" s="457">
        <v>0</v>
      </c>
      <c r="I47" s="457">
        <v>0</v>
      </c>
      <c r="J47" s="454">
        <v>0</v>
      </c>
      <c r="K47" s="25">
        <f t="shared" si="15"/>
        <v>0</v>
      </c>
      <c r="L47" s="25">
        <f>ROUNDUP((((I47*J47)*Constants!$N$20)+((H47*J47)*Constants!$N$18)),0)</f>
        <v>0</v>
      </c>
      <c r="M47" s="134">
        <f t="shared" ref="M47:M48" si="16">(+K47+L47)</f>
        <v>0</v>
      </c>
      <c r="N47" s="240">
        <f>'Cost-Share'!J32</f>
        <v>0</v>
      </c>
      <c r="O47" s="238">
        <f>'Cost-Share'!K32</f>
        <v>0</v>
      </c>
      <c r="P47" s="270">
        <f>'Cost-Share'!L32</f>
        <v>0</v>
      </c>
      <c r="Q47" s="23"/>
      <c r="R47" s="455">
        <f t="shared" si="14"/>
        <v>0</v>
      </c>
      <c r="S47" s="421">
        <f t="shared" si="14"/>
        <v>0</v>
      </c>
      <c r="T47" s="421">
        <f t="shared" si="14"/>
        <v>0</v>
      </c>
      <c r="U47" s="422" t="str">
        <f>IFERROR((P47/T47),"-")</f>
        <v>-</v>
      </c>
    </row>
    <row r="48" spans="2:23" ht="15" customHeight="1">
      <c r="B48" s="982">
        <v>135050</v>
      </c>
      <c r="C48" s="983"/>
      <c r="D48" s="1532" t="s">
        <v>173</v>
      </c>
      <c r="E48" s="1533"/>
      <c r="F48" s="1533"/>
      <c r="G48" s="1534"/>
      <c r="H48" s="458">
        <v>0</v>
      </c>
      <c r="I48" s="458">
        <v>0</v>
      </c>
      <c r="J48" s="459">
        <v>0</v>
      </c>
      <c r="K48" s="25">
        <f t="shared" si="15"/>
        <v>0</v>
      </c>
      <c r="L48" s="25">
        <f>ROUNDUP((((I48*J48)*Constants!$N$20)+((H48*J48)*Constants!$N$18)),0)</f>
        <v>0</v>
      </c>
      <c r="M48" s="60">
        <f t="shared" si="16"/>
        <v>0</v>
      </c>
      <c r="N48" s="240">
        <f>'Cost-Share'!J33</f>
        <v>0</v>
      </c>
      <c r="O48" s="238">
        <f>'Cost-Share'!K33</f>
        <v>0</v>
      </c>
      <c r="P48" s="270">
        <f>'Cost-Share'!L33</f>
        <v>0</v>
      </c>
      <c r="Q48" s="23"/>
      <c r="R48" s="455">
        <f t="shared" si="14"/>
        <v>0</v>
      </c>
      <c r="S48" s="421">
        <f t="shared" si="14"/>
        <v>0</v>
      </c>
      <c r="T48" s="421">
        <f t="shared" si="14"/>
        <v>0</v>
      </c>
      <c r="U48" s="422" t="str">
        <f>IFERROR((P48/T48),"-")</f>
        <v>-</v>
      </c>
    </row>
    <row r="49" spans="2:21" ht="15" customHeight="1">
      <c r="B49" s="982"/>
      <c r="C49" s="983"/>
      <c r="D49" s="998"/>
      <c r="E49" s="999"/>
      <c r="F49" s="999"/>
      <c r="G49" s="1000"/>
      <c r="H49" s="1085" t="s">
        <v>174</v>
      </c>
      <c r="I49" s="1086"/>
      <c r="J49" s="461" t="s">
        <v>175</v>
      </c>
      <c r="K49" s="1090"/>
      <c r="L49" s="460" t="s">
        <v>145</v>
      </c>
      <c r="M49" s="460" t="s">
        <v>146</v>
      </c>
      <c r="N49" s="243" t="s">
        <v>176</v>
      </c>
      <c r="O49" s="244" t="s">
        <v>145</v>
      </c>
      <c r="P49" s="293" t="s">
        <v>146</v>
      </c>
      <c r="Q49" s="23"/>
      <c r="R49" s="462" t="s">
        <v>176</v>
      </c>
      <c r="S49" s="463" t="s">
        <v>145</v>
      </c>
      <c r="T49" s="463" t="s">
        <v>152</v>
      </c>
      <c r="U49" s="464" t="s">
        <v>153</v>
      </c>
    </row>
    <row r="50" spans="2:21" ht="15" customHeight="1">
      <c r="B50" s="982">
        <v>135050</v>
      </c>
      <c r="C50" s="983"/>
      <c r="D50" s="1532" t="s">
        <v>177</v>
      </c>
      <c r="E50" s="1533"/>
      <c r="F50" s="1533"/>
      <c r="G50" s="1534"/>
      <c r="H50" s="1087">
        <v>0</v>
      </c>
      <c r="I50" s="1088"/>
      <c r="J50" s="465">
        <v>0</v>
      </c>
      <c r="K50" s="1091"/>
      <c r="L50" s="60">
        <f>ROUNDUP(((J50*Constants!$N$20)+(H50*Constants!$N$18)),0)</f>
        <v>0</v>
      </c>
      <c r="M50" s="60">
        <f>(H50+J50+L50)</f>
        <v>0</v>
      </c>
      <c r="N50" s="240">
        <f>'Cost-Share'!J35</f>
        <v>0</v>
      </c>
      <c r="O50" s="238">
        <f>'Cost-Share'!K35</f>
        <v>0</v>
      </c>
      <c r="P50" s="270">
        <f>'Cost-Share'!L35</f>
        <v>0</v>
      </c>
      <c r="Q50" s="23"/>
      <c r="R50" s="455">
        <f t="shared" ref="R50:T51" si="17">K50+N50</f>
        <v>0</v>
      </c>
      <c r="S50" s="421">
        <f t="shared" si="17"/>
        <v>0</v>
      </c>
      <c r="T50" s="421">
        <f t="shared" si="17"/>
        <v>0</v>
      </c>
      <c r="U50" s="422" t="str">
        <f>IFERROR((P50/T50),"-")</f>
        <v>-</v>
      </c>
    </row>
    <row r="51" spans="2:21" ht="14.25" customHeight="1" thickBot="1">
      <c r="B51" s="982">
        <v>135050</v>
      </c>
      <c r="C51" s="983"/>
      <c r="D51" s="1525" t="s">
        <v>177</v>
      </c>
      <c r="E51" s="1526"/>
      <c r="F51" s="1526"/>
      <c r="G51" s="1527"/>
      <c r="H51" s="1083">
        <v>0</v>
      </c>
      <c r="I51" s="1084"/>
      <c r="J51" s="466">
        <v>0</v>
      </c>
      <c r="K51" s="1092"/>
      <c r="L51" s="60">
        <f>(J51*Constants!$N$20)+(H51*Constants!$N$18)</f>
        <v>0</v>
      </c>
      <c r="M51" s="60">
        <f>(H51+J51+L51)</f>
        <v>0</v>
      </c>
      <c r="N51" s="240">
        <f>'Cost-Share'!J36</f>
        <v>0</v>
      </c>
      <c r="O51" s="238">
        <f>'Cost-Share'!K36</f>
        <v>0</v>
      </c>
      <c r="P51" s="270">
        <f>'Cost-Share'!L36</f>
        <v>0</v>
      </c>
      <c r="Q51" s="23"/>
      <c r="R51" s="455">
        <f>K51+N51</f>
        <v>0</v>
      </c>
      <c r="S51" s="421">
        <f t="shared" si="17"/>
        <v>0</v>
      </c>
      <c r="T51" s="421">
        <f t="shared" si="17"/>
        <v>0</v>
      </c>
      <c r="U51" s="422" t="str">
        <f>IFERROR((P51/T51),"-")</f>
        <v>-</v>
      </c>
    </row>
    <row r="52" spans="2:21" ht="15" thickBot="1">
      <c r="B52" s="990" t="s">
        <v>178</v>
      </c>
      <c r="C52" s="991"/>
      <c r="D52" s="991"/>
      <c r="E52" s="991"/>
      <c r="F52" s="991"/>
      <c r="G52" s="991"/>
      <c r="H52" s="991"/>
      <c r="I52" s="991"/>
      <c r="J52" s="991"/>
      <c r="K52" s="276">
        <f>SUM(K45:K48,H50:J51)</f>
        <v>0</v>
      </c>
      <c r="L52" s="277">
        <f>SUM(L45:L51)</f>
        <v>0</v>
      </c>
      <c r="M52" s="278">
        <f>SUM(M45:M51)</f>
        <v>0</v>
      </c>
      <c r="N52" s="288">
        <f t="shared" ref="N52:O52" si="18">SUM(N45:N51)</f>
        <v>0</v>
      </c>
      <c r="O52" s="282">
        <f t="shared" si="18"/>
        <v>0</v>
      </c>
      <c r="P52" s="283">
        <f>SUM(P45:P51)</f>
        <v>0</v>
      </c>
      <c r="Q52" s="23"/>
      <c r="R52" s="442">
        <f>SUM(R45:R51)</f>
        <v>0</v>
      </c>
      <c r="S52" s="446">
        <f>SUM(S45:S51)</f>
        <v>0</v>
      </c>
      <c r="T52" s="446">
        <f>SUM(T45:T51)</f>
        <v>0</v>
      </c>
      <c r="U52" s="447"/>
    </row>
    <row r="53" spans="2:21" ht="7.5" customHeight="1" thickBot="1">
      <c r="B53" s="960"/>
      <c r="C53" s="960"/>
      <c r="D53" s="960"/>
      <c r="E53" s="960"/>
      <c r="F53" s="960"/>
      <c r="G53" s="960"/>
      <c r="H53" s="960"/>
      <c r="I53" s="960"/>
      <c r="J53" s="960"/>
      <c r="K53" s="960"/>
      <c r="L53" s="960"/>
      <c r="M53" s="960"/>
      <c r="Q53" s="23"/>
    </row>
    <row r="54" spans="2:21" ht="15" thickBot="1">
      <c r="B54" s="996" t="s">
        <v>179</v>
      </c>
      <c r="C54" s="997"/>
      <c r="D54" s="997"/>
      <c r="E54" s="997"/>
      <c r="F54" s="997"/>
      <c r="G54" s="997"/>
      <c r="H54" s="997"/>
      <c r="I54" s="997"/>
      <c r="J54" s="997"/>
      <c r="K54" s="298">
        <f>K24+K39+K52</f>
        <v>0</v>
      </c>
      <c r="L54" s="298">
        <f>L24+L39+L52</f>
        <v>0</v>
      </c>
      <c r="M54" s="298">
        <f t="shared" ref="M54:P54" si="19">M24+M39+M52</f>
        <v>0</v>
      </c>
      <c r="N54" s="288">
        <f t="shared" si="19"/>
        <v>0</v>
      </c>
      <c r="O54" s="288">
        <f t="shared" si="19"/>
        <v>0</v>
      </c>
      <c r="P54" s="288">
        <f t="shared" si="19"/>
        <v>0</v>
      </c>
      <c r="Q54" s="23"/>
    </row>
    <row r="55" spans="2:21" ht="7.5" customHeight="1">
      <c r="B55" s="960"/>
      <c r="C55" s="960"/>
      <c r="D55" s="960"/>
      <c r="E55" s="960"/>
      <c r="F55" s="960"/>
      <c r="G55" s="960"/>
      <c r="H55" s="960"/>
      <c r="I55" s="960"/>
      <c r="J55" s="960"/>
      <c r="K55" s="960"/>
      <c r="L55" s="960"/>
      <c r="M55" s="960"/>
      <c r="Q55" s="23"/>
    </row>
    <row r="56" spans="2:21" ht="15" customHeight="1" thickBot="1">
      <c r="B56" s="985" t="s">
        <v>180</v>
      </c>
      <c r="C56" s="985"/>
      <c r="D56" s="985"/>
      <c r="E56" s="985"/>
      <c r="F56" s="985"/>
      <c r="G56" s="985"/>
      <c r="H56" s="985"/>
      <c r="I56" s="985"/>
      <c r="J56" s="985"/>
      <c r="K56" s="985"/>
      <c r="L56" s="985"/>
      <c r="M56" s="985"/>
      <c r="N56" s="985"/>
      <c r="O56" s="985"/>
      <c r="P56" s="985"/>
      <c r="Q56" s="23"/>
    </row>
    <row r="57" spans="2:21" ht="7.5" customHeight="1" thickBot="1">
      <c r="B57" s="960"/>
      <c r="C57" s="960"/>
      <c r="D57" s="960"/>
      <c r="E57" s="960"/>
      <c r="F57" s="960"/>
      <c r="G57" s="960"/>
      <c r="H57" s="960"/>
      <c r="I57" s="960"/>
      <c r="J57" s="960"/>
      <c r="K57" s="960"/>
      <c r="L57" s="960"/>
      <c r="M57" s="960"/>
      <c r="N57" s="360"/>
      <c r="Q57" s="23"/>
    </row>
    <row r="58" spans="2:21" ht="15" customHeight="1">
      <c r="B58" s="1535" t="s">
        <v>181</v>
      </c>
      <c r="C58" s="1536"/>
      <c r="D58" s="1536"/>
      <c r="E58" s="1536"/>
      <c r="F58" s="962" t="s">
        <v>182</v>
      </c>
      <c r="G58" s="962"/>
      <c r="H58" s="962" t="s">
        <v>183</v>
      </c>
      <c r="I58" s="962"/>
      <c r="J58" s="962" t="s">
        <v>184</v>
      </c>
      <c r="K58" s="962"/>
      <c r="L58" s="962"/>
      <c r="M58" s="467"/>
      <c r="N58" s="468" t="s">
        <v>185</v>
      </c>
      <c r="Q58" s="23"/>
    </row>
    <row r="59" spans="2:21" ht="15" customHeight="1">
      <c r="B59" s="1075" t="s">
        <v>186</v>
      </c>
      <c r="C59" s="1076"/>
      <c r="D59" s="1537" t="s">
        <v>187</v>
      </c>
      <c r="E59" s="1538"/>
      <c r="F59" s="958"/>
      <c r="G59" s="959"/>
      <c r="H59" s="958"/>
      <c r="I59" s="1060"/>
      <c r="J59" s="959"/>
      <c r="K59" s="959"/>
      <c r="L59" s="1077"/>
      <c r="M59" s="469">
        <f>IFERROR(INDEX('Tuition &amp; Fees'!C4:D21,MATCH(J59,'Tuition &amp; Fees'!B4:B21,0),MATCH(H59,'Tuition &amp; Fees'!C3:D3,0)),"0")*F59</f>
        <v>0</v>
      </c>
      <c r="N59" s="303">
        <f>'Cost-Share'!L44</f>
        <v>0</v>
      </c>
      <c r="Q59" s="23"/>
    </row>
    <row r="60" spans="2:21" ht="15" customHeight="1">
      <c r="B60" s="1013" t="s">
        <v>186</v>
      </c>
      <c r="C60" s="1014"/>
      <c r="D60" s="1539" t="s">
        <v>188</v>
      </c>
      <c r="E60" s="1540"/>
      <c r="F60" s="1058"/>
      <c r="G60" s="1059"/>
      <c r="H60" s="1058"/>
      <c r="I60" s="1061"/>
      <c r="J60" s="1078"/>
      <c r="K60" s="1078"/>
      <c r="L60" s="1079"/>
      <c r="M60" s="470">
        <f>IFERROR(INDEX('Tuition &amp; Fees'!C25:D42,MATCH(J60,'Tuition &amp; Fees'!B25:B42,0),MATCH(H60,'Tuition &amp; Fees'!C24:D24,0)),"0")*F60</f>
        <v>0</v>
      </c>
      <c r="N60" s="303">
        <f>'Cost-Share'!L45</f>
        <v>0</v>
      </c>
      <c r="Q60" s="23"/>
    </row>
    <row r="61" spans="2:21" ht="15" customHeight="1" thickBot="1">
      <c r="B61" s="1070">
        <v>689036</v>
      </c>
      <c r="C61" s="1071"/>
      <c r="D61" s="1541" t="s">
        <v>189</v>
      </c>
      <c r="E61" s="1542"/>
      <c r="F61" s="1072"/>
      <c r="G61" s="1073"/>
      <c r="H61" s="1073"/>
      <c r="I61" s="1073"/>
      <c r="J61" s="1073"/>
      <c r="K61" s="1073"/>
      <c r="L61" s="1074"/>
      <c r="M61" s="61">
        <v>0</v>
      </c>
      <c r="N61" s="303">
        <f>'Cost-Share'!L46</f>
        <v>0</v>
      </c>
      <c r="Q61" s="23"/>
    </row>
    <row r="62" spans="2:21" ht="15" thickBot="1">
      <c r="B62" s="990"/>
      <c r="C62" s="991"/>
      <c r="D62" s="991"/>
      <c r="E62" s="991"/>
      <c r="F62" s="991"/>
      <c r="G62" s="991"/>
      <c r="H62" s="991"/>
      <c r="I62" s="991"/>
      <c r="J62" s="991"/>
      <c r="K62" s="991"/>
      <c r="L62" s="1012"/>
      <c r="M62" s="342">
        <f>SUM(M59:M61)</f>
        <v>0</v>
      </c>
      <c r="N62" s="304">
        <f>SUM(N59:N61)</f>
        <v>0</v>
      </c>
      <c r="Q62" s="23"/>
    </row>
    <row r="63" spans="2:21" ht="7.5" customHeight="1" thickBot="1">
      <c r="B63" s="960"/>
      <c r="C63" s="960"/>
      <c r="D63" s="960"/>
      <c r="E63" s="960"/>
      <c r="F63" s="960"/>
      <c r="G63" s="960"/>
      <c r="H63" s="960"/>
      <c r="I63" s="960"/>
      <c r="J63" s="960"/>
      <c r="K63" s="960"/>
      <c r="L63" s="960"/>
      <c r="M63" s="960"/>
      <c r="Q63" s="23"/>
    </row>
    <row r="64" spans="2:21">
      <c r="B64" s="1543" t="s">
        <v>190</v>
      </c>
      <c r="C64" s="1544"/>
      <c r="D64" s="1544"/>
      <c r="E64" s="1544"/>
      <c r="F64" s="961" t="s">
        <v>191</v>
      </c>
      <c r="G64" s="961"/>
      <c r="H64" s="961"/>
      <c r="I64" s="961"/>
      <c r="J64" s="961"/>
      <c r="K64" s="961"/>
      <c r="L64" s="961"/>
      <c r="M64" s="961"/>
      <c r="N64" s="471" t="s">
        <v>185</v>
      </c>
      <c r="P64" s="472"/>
      <c r="Q64" s="23"/>
    </row>
    <row r="65" spans="2:17" ht="15" customHeight="1">
      <c r="B65" s="1019" t="s">
        <v>192</v>
      </c>
      <c r="C65" s="1020"/>
      <c r="D65" s="1545" t="s">
        <v>116</v>
      </c>
      <c r="E65" s="1546"/>
      <c r="F65" s="1006"/>
      <c r="G65" s="1007"/>
      <c r="H65" s="1007"/>
      <c r="I65" s="1007"/>
      <c r="J65" s="1007"/>
      <c r="K65" s="1007"/>
      <c r="L65" s="1008"/>
      <c r="M65" s="469">
        <v>0</v>
      </c>
      <c r="N65" s="303">
        <f>'Cost-Share'!L50</f>
        <v>0</v>
      </c>
      <c r="Q65" s="23"/>
    </row>
    <row r="66" spans="2:17" ht="15.75" customHeight="1" thickBot="1">
      <c r="B66" s="1009" t="s">
        <v>192</v>
      </c>
      <c r="C66" s="1010"/>
      <c r="D66" s="1541" t="s">
        <v>116</v>
      </c>
      <c r="E66" s="1542"/>
      <c r="F66" s="967"/>
      <c r="G66" s="968"/>
      <c r="H66" s="968"/>
      <c r="I66" s="968"/>
      <c r="J66" s="968"/>
      <c r="K66" s="968"/>
      <c r="L66" s="969"/>
      <c r="M66" s="61">
        <v>0</v>
      </c>
      <c r="N66" s="303">
        <f>'Cost-Share'!L51</f>
        <v>0</v>
      </c>
      <c r="Q66" s="23"/>
    </row>
    <row r="67" spans="2:17" ht="15" thickBot="1">
      <c r="B67" s="990" t="s">
        <v>193</v>
      </c>
      <c r="C67" s="991"/>
      <c r="D67" s="991"/>
      <c r="E67" s="991"/>
      <c r="F67" s="991"/>
      <c r="G67" s="991"/>
      <c r="H67" s="991"/>
      <c r="I67" s="991"/>
      <c r="J67" s="991"/>
      <c r="K67" s="991"/>
      <c r="L67" s="1011"/>
      <c r="M67" s="341">
        <f>SUM(M65:M66)</f>
        <v>0</v>
      </c>
      <c r="N67" s="304">
        <f>SUM(N65:N66)</f>
        <v>0</v>
      </c>
      <c r="Q67" s="23"/>
    </row>
    <row r="68" spans="2:17" ht="7.5" customHeight="1" thickBot="1">
      <c r="B68" s="960"/>
      <c r="C68" s="960"/>
      <c r="D68" s="960"/>
      <c r="E68" s="960"/>
      <c r="F68" s="960"/>
      <c r="G68" s="960"/>
      <c r="H68" s="960"/>
      <c r="I68" s="960"/>
      <c r="J68" s="960"/>
      <c r="K68" s="960"/>
      <c r="L68" s="960"/>
      <c r="M68" s="960"/>
      <c r="N68" s="360"/>
      <c r="Q68" s="23"/>
    </row>
    <row r="69" spans="2:17" ht="15" customHeight="1">
      <c r="B69" s="1535" t="s">
        <v>194</v>
      </c>
      <c r="C69" s="1536"/>
      <c r="D69" s="1536"/>
      <c r="E69" s="1536"/>
      <c r="F69" s="962" t="s">
        <v>191</v>
      </c>
      <c r="G69" s="962"/>
      <c r="H69" s="962"/>
      <c r="I69" s="962"/>
      <c r="J69" s="962"/>
      <c r="K69" s="962"/>
      <c r="L69" s="962"/>
      <c r="M69" s="962"/>
      <c r="N69" s="468" t="s">
        <v>185</v>
      </c>
      <c r="Q69" s="23"/>
    </row>
    <row r="70" spans="2:17" ht="15" customHeight="1">
      <c r="B70" s="1075" t="s">
        <v>195</v>
      </c>
      <c r="C70" s="1076"/>
      <c r="D70" s="1537" t="s">
        <v>196</v>
      </c>
      <c r="E70" s="1547"/>
      <c r="F70" s="1015"/>
      <c r="G70" s="1016"/>
      <c r="H70" s="1016"/>
      <c r="I70" s="1016"/>
      <c r="J70" s="1016"/>
      <c r="K70" s="1016"/>
      <c r="L70" s="1017"/>
      <c r="M70" s="469">
        <v>0</v>
      </c>
      <c r="N70" s="303">
        <f>'Cost-Share'!L55</f>
        <v>0</v>
      </c>
      <c r="Q70" s="23"/>
    </row>
    <row r="71" spans="2:17" ht="15" customHeight="1">
      <c r="B71" s="1013" t="s">
        <v>197</v>
      </c>
      <c r="C71" s="1014"/>
      <c r="D71" s="1539" t="s">
        <v>120</v>
      </c>
      <c r="E71" s="1548"/>
      <c r="F71" s="967"/>
      <c r="G71" s="968"/>
      <c r="H71" s="968"/>
      <c r="I71" s="968"/>
      <c r="J71" s="968"/>
      <c r="K71" s="968"/>
      <c r="L71" s="969"/>
      <c r="M71" s="470">
        <v>0</v>
      </c>
      <c r="N71" s="303">
        <f>'Cost-Share'!L56</f>
        <v>0</v>
      </c>
      <c r="Q71" s="23"/>
    </row>
    <row r="72" spans="2:17" ht="15" customHeight="1">
      <c r="B72" s="1013" t="s">
        <v>198</v>
      </c>
      <c r="C72" s="1014"/>
      <c r="D72" s="1539" t="s">
        <v>199</v>
      </c>
      <c r="E72" s="1548"/>
      <c r="F72" s="967"/>
      <c r="G72" s="968"/>
      <c r="H72" s="968"/>
      <c r="I72" s="968"/>
      <c r="J72" s="968"/>
      <c r="K72" s="968"/>
      <c r="L72" s="969"/>
      <c r="M72" s="61">
        <v>0</v>
      </c>
      <c r="N72" s="303">
        <f>'Cost-Share'!L57</f>
        <v>0</v>
      </c>
      <c r="Q72" s="23"/>
    </row>
    <row r="73" spans="2:17" ht="15" customHeight="1" thickBot="1">
      <c r="B73" s="1066"/>
      <c r="C73" s="1067"/>
      <c r="D73" s="1541" t="s">
        <v>200</v>
      </c>
      <c r="E73" s="1542"/>
      <c r="F73" s="967"/>
      <c r="G73" s="968"/>
      <c r="H73" s="968"/>
      <c r="I73" s="968"/>
      <c r="J73" s="968"/>
      <c r="K73" s="968"/>
      <c r="L73" s="969"/>
      <c r="M73" s="470">
        <v>0</v>
      </c>
      <c r="N73" s="303">
        <f>'Cost-Share'!L58</f>
        <v>0</v>
      </c>
      <c r="Q73" s="23"/>
    </row>
    <row r="74" spans="2:17" ht="15" thickBot="1">
      <c r="B74" s="990" t="s">
        <v>201</v>
      </c>
      <c r="C74" s="991"/>
      <c r="D74" s="991"/>
      <c r="E74" s="991"/>
      <c r="F74" s="991"/>
      <c r="G74" s="991"/>
      <c r="H74" s="991"/>
      <c r="I74" s="991"/>
      <c r="J74" s="991"/>
      <c r="K74" s="991"/>
      <c r="L74" s="1012"/>
      <c r="M74" s="342">
        <f>SUM(M70:M73)</f>
        <v>0</v>
      </c>
      <c r="N74" s="304">
        <f>SUM(N70:N73)</f>
        <v>0</v>
      </c>
      <c r="Q74" s="23"/>
    </row>
    <row r="75" spans="2:17" ht="7.5" customHeight="1" thickBot="1">
      <c r="B75" s="960"/>
      <c r="C75" s="960"/>
      <c r="D75" s="960"/>
      <c r="E75" s="960"/>
      <c r="F75" s="960"/>
      <c r="G75" s="960"/>
      <c r="H75" s="960"/>
      <c r="I75" s="960"/>
      <c r="J75" s="960"/>
      <c r="K75" s="960"/>
      <c r="L75" s="960"/>
      <c r="M75" s="960"/>
      <c r="N75" s="360"/>
      <c r="Q75" s="23"/>
    </row>
    <row r="76" spans="2:17" ht="15" customHeight="1">
      <c r="B76" s="1535" t="s">
        <v>202</v>
      </c>
      <c r="C76" s="1536"/>
      <c r="D76" s="1536"/>
      <c r="E76" s="1536"/>
      <c r="F76" s="1101" t="s">
        <v>203</v>
      </c>
      <c r="G76" s="1101"/>
      <c r="H76" s="1101"/>
      <c r="I76" s="1101"/>
      <c r="J76" s="1101"/>
      <c r="K76" s="1101"/>
      <c r="L76" s="1101"/>
      <c r="M76" s="1101"/>
      <c r="N76" s="468" t="s">
        <v>185</v>
      </c>
      <c r="Q76" s="23"/>
    </row>
    <row r="77" spans="2:17" ht="15" customHeight="1">
      <c r="B77" s="1102" t="s">
        <v>204</v>
      </c>
      <c r="C77" s="1103"/>
      <c r="D77" s="950" t="s">
        <v>205</v>
      </c>
      <c r="E77" s="951"/>
      <c r="F77" s="1015"/>
      <c r="G77" s="1016"/>
      <c r="H77" s="1016"/>
      <c r="I77" s="1016"/>
      <c r="J77" s="1016"/>
      <c r="K77" s="1016"/>
      <c r="L77" s="515">
        <f>MIN(M77,25000)</f>
        <v>0</v>
      </c>
      <c r="M77" s="469">
        <v>0</v>
      </c>
      <c r="N77" s="303">
        <f>'Cost-Share'!L62</f>
        <v>0</v>
      </c>
      <c r="Q77" s="23"/>
    </row>
    <row r="78" spans="2:17" ht="15" customHeight="1">
      <c r="B78" s="1104" t="s">
        <v>204</v>
      </c>
      <c r="C78" s="1105"/>
      <c r="D78" s="952" t="s">
        <v>205</v>
      </c>
      <c r="E78" s="953"/>
      <c r="F78" s="963"/>
      <c r="G78" s="964"/>
      <c r="H78" s="964"/>
      <c r="I78" s="964"/>
      <c r="J78" s="964"/>
      <c r="K78" s="964"/>
      <c r="L78" s="515">
        <f>MIN(M78,25000)</f>
        <v>0</v>
      </c>
      <c r="M78" s="470">
        <v>0</v>
      </c>
      <c r="N78" s="303">
        <f>'Cost-Share'!L63</f>
        <v>0</v>
      </c>
      <c r="Q78" s="23"/>
    </row>
    <row r="79" spans="2:17" ht="15" customHeight="1">
      <c r="B79" s="1104" t="s">
        <v>204</v>
      </c>
      <c r="C79" s="1105"/>
      <c r="D79" s="952" t="s">
        <v>205</v>
      </c>
      <c r="E79" s="953"/>
      <c r="F79" s="963"/>
      <c r="G79" s="964"/>
      <c r="H79" s="964"/>
      <c r="I79" s="964"/>
      <c r="J79" s="964"/>
      <c r="K79" s="964"/>
      <c r="L79" s="515">
        <f t="shared" ref="L79:L80" si="20">MIN(M79,25000)</f>
        <v>0</v>
      </c>
      <c r="M79" s="61">
        <v>0</v>
      </c>
      <c r="N79" s="303">
        <f>'Cost-Share'!L64</f>
        <v>0</v>
      </c>
      <c r="Q79" s="23"/>
    </row>
    <row r="80" spans="2:17" ht="15.75" customHeight="1" thickBot="1">
      <c r="B80" s="1106" t="s">
        <v>204</v>
      </c>
      <c r="C80" s="1107"/>
      <c r="D80" s="954" t="s">
        <v>205</v>
      </c>
      <c r="E80" s="955"/>
      <c r="F80" s="965"/>
      <c r="G80" s="966"/>
      <c r="H80" s="966"/>
      <c r="I80" s="966"/>
      <c r="J80" s="966"/>
      <c r="K80" s="966"/>
      <c r="L80" s="521">
        <f t="shared" si="20"/>
        <v>0</v>
      </c>
      <c r="M80" s="470">
        <v>0</v>
      </c>
      <c r="N80" s="303">
        <f>'Cost-Share'!L65</f>
        <v>0</v>
      </c>
      <c r="Q80" s="23"/>
    </row>
    <row r="81" spans="2:17" ht="15" thickBot="1">
      <c r="B81" s="990" t="s">
        <v>206</v>
      </c>
      <c r="C81" s="991"/>
      <c r="D81" s="991"/>
      <c r="E81" s="991"/>
      <c r="F81" s="991"/>
      <c r="G81" s="991"/>
      <c r="H81" s="991"/>
      <c r="I81" s="991"/>
      <c r="J81" s="991"/>
      <c r="K81" s="1062"/>
      <c r="L81" s="614">
        <f>SUM(L77:L80)</f>
        <v>0</v>
      </c>
      <c r="M81" s="520">
        <f>SUM(M77:M80)</f>
        <v>0</v>
      </c>
      <c r="N81" s="304">
        <f>SUM(N77:N80)</f>
        <v>0</v>
      </c>
      <c r="Q81" s="23"/>
    </row>
    <row r="82" spans="2:17" ht="7.5" customHeight="1" thickBot="1">
      <c r="B82" s="960"/>
      <c r="C82" s="960"/>
      <c r="D82" s="960"/>
      <c r="E82" s="960"/>
      <c r="F82" s="960"/>
      <c r="G82" s="960"/>
      <c r="H82" s="960"/>
      <c r="I82" s="960"/>
      <c r="J82" s="960"/>
      <c r="K82" s="960"/>
      <c r="L82" s="960"/>
      <c r="M82" s="960"/>
      <c r="N82" s="360"/>
      <c r="Q82" s="23"/>
    </row>
    <row r="83" spans="2:17">
      <c r="B83" s="1535" t="s">
        <v>207</v>
      </c>
      <c r="C83" s="1536"/>
      <c r="D83" s="1536"/>
      <c r="E83" s="1536"/>
      <c r="F83" s="962" t="s">
        <v>191</v>
      </c>
      <c r="G83" s="962"/>
      <c r="H83" s="962"/>
      <c r="I83" s="962"/>
      <c r="J83" s="962"/>
      <c r="K83" s="962"/>
      <c r="L83" s="962"/>
      <c r="M83" s="962"/>
      <c r="N83" s="468" t="s">
        <v>185</v>
      </c>
      <c r="Q83" s="23"/>
    </row>
    <row r="84" spans="2:17" ht="15" customHeight="1">
      <c r="B84" s="1075" t="s">
        <v>197</v>
      </c>
      <c r="C84" s="1076"/>
      <c r="D84" s="1537" t="s">
        <v>208</v>
      </c>
      <c r="E84" s="1547"/>
      <c r="F84" s="1015"/>
      <c r="G84" s="1016"/>
      <c r="H84" s="1016"/>
      <c r="I84" s="1016"/>
      <c r="J84" s="1016"/>
      <c r="K84" s="1016"/>
      <c r="L84" s="1017"/>
      <c r="M84" s="469">
        <v>0</v>
      </c>
      <c r="N84" s="303">
        <f>'Cost-Share'!L69</f>
        <v>0</v>
      </c>
      <c r="Q84" s="23"/>
    </row>
    <row r="85" spans="2:17" ht="15.75" customHeight="1" thickBot="1">
      <c r="B85" s="1009" t="s">
        <v>209</v>
      </c>
      <c r="C85" s="1010"/>
      <c r="D85" s="1541" t="s">
        <v>210</v>
      </c>
      <c r="E85" s="1542"/>
      <c r="F85" s="967"/>
      <c r="G85" s="968"/>
      <c r="H85" s="968"/>
      <c r="I85" s="968"/>
      <c r="J85" s="968"/>
      <c r="K85" s="968"/>
      <c r="L85" s="969"/>
      <c r="M85" s="61">
        <v>0</v>
      </c>
      <c r="N85" s="303">
        <f>'Cost-Share'!L70</f>
        <v>0</v>
      </c>
      <c r="Q85" s="23"/>
    </row>
    <row r="86" spans="2:17" ht="15" customHeight="1" thickBot="1">
      <c r="B86" s="990" t="s">
        <v>211</v>
      </c>
      <c r="C86" s="991"/>
      <c r="D86" s="991"/>
      <c r="E86" s="991"/>
      <c r="F86" s="991"/>
      <c r="G86" s="991"/>
      <c r="H86" s="991"/>
      <c r="I86" s="991"/>
      <c r="J86" s="991"/>
      <c r="K86" s="991"/>
      <c r="L86" s="1011"/>
      <c r="M86" s="341">
        <f>SUM(M84:M85)</f>
        <v>0</v>
      </c>
      <c r="N86" s="304">
        <f>SUM(N84:N85)</f>
        <v>0</v>
      </c>
      <c r="Q86" s="23"/>
    </row>
    <row r="87" spans="2:17" ht="7.5" customHeight="1" thickBot="1">
      <c r="B87" s="960"/>
      <c r="C87" s="960"/>
      <c r="D87" s="960"/>
      <c r="E87" s="960"/>
      <c r="F87" s="960"/>
      <c r="G87" s="960"/>
      <c r="H87" s="960"/>
      <c r="I87" s="960"/>
      <c r="J87" s="960"/>
      <c r="K87" s="960"/>
      <c r="L87" s="960"/>
      <c r="M87" s="960"/>
      <c r="N87" s="360"/>
      <c r="Q87" s="23"/>
    </row>
    <row r="88" spans="2:17">
      <c r="B88" s="1050" t="s">
        <v>212</v>
      </c>
      <c r="C88" s="989"/>
      <c r="D88" s="989"/>
      <c r="E88" s="989"/>
      <c r="F88" s="962" t="s">
        <v>191</v>
      </c>
      <c r="G88" s="962"/>
      <c r="H88" s="962"/>
      <c r="I88" s="962"/>
      <c r="J88" s="962"/>
      <c r="K88" s="962"/>
      <c r="L88" s="962"/>
      <c r="M88" s="1049"/>
      <c r="N88" s="468" t="s">
        <v>185</v>
      </c>
      <c r="Q88" s="23"/>
    </row>
    <row r="89" spans="2:17" ht="15" customHeight="1">
      <c r="B89" s="972" t="s">
        <v>213</v>
      </c>
      <c r="C89" s="973"/>
      <c r="D89" s="956" t="str">
        <f>IF(ISERROR(VLOOKUP(B89,Constants!$X$2:AA$473,1,FALSE)),"No Match",VLOOKUP('Bdgt Yr 1'!B89,Constants!$X$2:$AA$473,4,FALSE))</f>
        <v>Materials and Supplies</v>
      </c>
      <c r="E89" s="957"/>
      <c r="F89" s="967"/>
      <c r="G89" s="968"/>
      <c r="H89" s="968"/>
      <c r="I89" s="968"/>
      <c r="J89" s="968"/>
      <c r="K89" s="968"/>
      <c r="L89" s="969"/>
      <c r="M89" s="516">
        <v>0</v>
      </c>
      <c r="N89" s="303">
        <f>'Cost-Share'!L74</f>
        <v>0</v>
      </c>
      <c r="Q89" s="23"/>
    </row>
    <row r="90" spans="2:17" ht="15" customHeight="1">
      <c r="B90" s="970">
        <v>583010</v>
      </c>
      <c r="C90" s="971"/>
      <c r="D90" s="948" t="str">
        <f>IF(ISERROR(VLOOKUP(B90,Constants!$X$2:AA$473,1,FALSE)),"No Match",VLOOKUP('Bdgt Yr 1'!B90,Constants!$X$2:$AA$473,4,FALSE))</f>
        <v>Subscriptions and Publication Costs</v>
      </c>
      <c r="E90" s="949"/>
      <c r="F90" s="967"/>
      <c r="G90" s="968"/>
      <c r="H90" s="968"/>
      <c r="I90" s="968"/>
      <c r="J90" s="968"/>
      <c r="K90" s="968"/>
      <c r="L90" s="969"/>
      <c r="M90" s="516">
        <v>0</v>
      </c>
      <c r="N90" s="303">
        <f>'Cost-Share'!L75</f>
        <v>0</v>
      </c>
      <c r="Q90" s="23"/>
    </row>
    <row r="91" spans="2:17" ht="15" customHeight="1">
      <c r="B91" s="970">
        <v>311010</v>
      </c>
      <c r="C91" s="971"/>
      <c r="D91" s="948" t="str">
        <f>IF(ISERROR(VLOOKUP(B91,Constants!$X$2:AA$473,1,FALSE)),"No Match",VLOOKUP('Bdgt Yr 1'!B91,Constants!$X$2:$AA$473,4,FALSE))</f>
        <v xml:space="preserve">Office Supplies     </v>
      </c>
      <c r="E91" s="949"/>
      <c r="F91" s="967"/>
      <c r="G91" s="968"/>
      <c r="H91" s="968"/>
      <c r="I91" s="968"/>
      <c r="J91" s="968"/>
      <c r="K91" s="968"/>
      <c r="L91" s="969"/>
      <c r="M91" s="516">
        <v>0</v>
      </c>
      <c r="N91" s="303">
        <f>'Cost-Share'!L76</f>
        <v>0</v>
      </c>
      <c r="Q91" s="23"/>
    </row>
    <row r="92" spans="2:17" ht="15" customHeight="1">
      <c r="B92" s="970">
        <v>293054</v>
      </c>
      <c r="C92" s="971"/>
      <c r="D92" s="948" t="str">
        <f>IF(ISERROR(VLOOKUP(B92,Constants!$X$2:AA$473,1,FALSE)),"No Match",VLOOKUP('Bdgt Yr 1'!B92,Constants!$X$2:$AA$473,4,FALSE))</f>
        <v>Registration Fees</v>
      </c>
      <c r="E92" s="949"/>
      <c r="F92" s="967"/>
      <c r="G92" s="968"/>
      <c r="H92" s="968"/>
      <c r="I92" s="968"/>
      <c r="J92" s="968"/>
      <c r="K92" s="968"/>
      <c r="L92" s="969"/>
      <c r="M92" s="516">
        <v>0</v>
      </c>
      <c r="N92" s="303">
        <f>'Cost-Share'!L77</f>
        <v>0</v>
      </c>
      <c r="Q92" s="23"/>
    </row>
    <row r="93" spans="2:17" ht="15" customHeight="1">
      <c r="B93" s="970">
        <v>281120</v>
      </c>
      <c r="C93" s="971"/>
      <c r="D93" s="948" t="str">
        <f>IF(ISERROR(VLOOKUP(B93,Constants!$X$2:AA$473,1,FALSE)),"No Match",VLOOKUP('Bdgt Yr 1'!B93,Constants!$X$2:$AA$473,4,FALSE))</f>
        <v>Telephone Services</v>
      </c>
      <c r="E93" s="949"/>
      <c r="F93" s="967"/>
      <c r="G93" s="968"/>
      <c r="H93" s="968"/>
      <c r="I93" s="968"/>
      <c r="J93" s="968"/>
      <c r="K93" s="968"/>
      <c r="L93" s="969"/>
      <c r="M93" s="516">
        <v>0</v>
      </c>
      <c r="N93" s="303">
        <f>'Cost-Share'!L78</f>
        <v>0</v>
      </c>
      <c r="Q93" s="23"/>
    </row>
    <row r="94" spans="2:17" ht="15" customHeight="1">
      <c r="B94" s="970" t="s">
        <v>214</v>
      </c>
      <c r="C94" s="971"/>
      <c r="D94" s="948" t="str">
        <f>IF(ISERROR(VLOOKUP(B94,Constants!$X$2:AA$473,1,FALSE)),"No Match",VLOOKUP('Bdgt Yr 1'!B94,Constants!$X$2:$AA$473,4,FALSE))</f>
        <v>Contracted Services Pool</v>
      </c>
      <c r="E94" s="949"/>
      <c r="F94" s="967"/>
      <c r="G94" s="968"/>
      <c r="H94" s="968"/>
      <c r="I94" s="968"/>
      <c r="J94" s="968"/>
      <c r="K94" s="968"/>
      <c r="L94" s="969"/>
      <c r="M94" s="516">
        <v>0</v>
      </c>
      <c r="N94" s="303">
        <f>'Cost-Share'!L79</f>
        <v>0</v>
      </c>
      <c r="Q94" s="23"/>
    </row>
    <row r="95" spans="2:17" ht="15" customHeight="1">
      <c r="B95" s="970">
        <v>219250</v>
      </c>
      <c r="C95" s="971"/>
      <c r="D95" s="948" t="str">
        <f>IF(ISERROR(VLOOKUP(B95,Constants!$X$2:AA$473,1,FALSE)),"No Match",VLOOKUP('Bdgt Yr 1'!B95,Constants!$X$2:$AA$473,4,FALSE))</f>
        <v xml:space="preserve">Honorariums         </v>
      </c>
      <c r="E95" s="949"/>
      <c r="F95" s="967"/>
      <c r="G95" s="968"/>
      <c r="H95" s="968"/>
      <c r="I95" s="968"/>
      <c r="J95" s="968"/>
      <c r="K95" s="968"/>
      <c r="L95" s="969"/>
      <c r="M95" s="516">
        <v>0</v>
      </c>
      <c r="N95" s="303">
        <f>'Cost-Share'!L80</f>
        <v>0</v>
      </c>
      <c r="Q95" s="23"/>
    </row>
    <row r="96" spans="2:17" ht="15" customHeight="1">
      <c r="B96" s="970">
        <v>286010</v>
      </c>
      <c r="C96" s="971"/>
      <c r="D96" s="948" t="str">
        <f>IF(ISERROR(VLOOKUP(B96,Constants!$X$2:AA$473,1,FALSE)),"No Match",VLOOKUP('Bdgt Yr 1'!B96,Constants!$X$2:$AA$473,4,FALSE))</f>
        <v>Advertising</v>
      </c>
      <c r="E96" s="949"/>
      <c r="F96" s="967"/>
      <c r="G96" s="968"/>
      <c r="H96" s="968"/>
      <c r="I96" s="968"/>
      <c r="J96" s="968"/>
      <c r="K96" s="968"/>
      <c r="L96" s="969"/>
      <c r="M96" s="516">
        <v>0</v>
      </c>
      <c r="N96" s="303">
        <f>'Cost-Share'!L81</f>
        <v>0</v>
      </c>
      <c r="Q96" s="23"/>
    </row>
    <row r="97" spans="2:17" ht="15" customHeight="1">
      <c r="B97" s="1053">
        <v>282610</v>
      </c>
      <c r="C97" s="1054"/>
      <c r="D97" s="948" t="str">
        <f>IF(ISERROR(VLOOKUP(B97,Constants!$X$2:AA$473,1,FALSE)),"No Match",VLOOKUP('Bdgt Yr 1'!B97,Constants!$X$2:$AA$473,4,FALSE))</f>
        <v>Software Subscriptions</v>
      </c>
      <c r="E97" s="949"/>
      <c r="F97" s="967"/>
      <c r="G97" s="968"/>
      <c r="H97" s="968"/>
      <c r="I97" s="968"/>
      <c r="J97" s="968"/>
      <c r="K97" s="968"/>
      <c r="L97" s="969"/>
      <c r="M97" s="516">
        <v>0</v>
      </c>
      <c r="N97" s="303">
        <f>'Cost-Share'!L82</f>
        <v>0</v>
      </c>
      <c r="Q97" s="23"/>
    </row>
    <row r="98" spans="2:17" ht="15" customHeight="1">
      <c r="B98" s="970">
        <v>583020</v>
      </c>
      <c r="C98" s="971"/>
      <c r="D98" s="948" t="str">
        <f>IF(ISERROR(VLOOKUP(B98,Constants!$X$2:AA$473,1,FALSE)),"No Match",VLOOKUP('Bdgt Yr 1'!B98,Constants!$X$2:$AA$473,4,FALSE))</f>
        <v>Membership Dues</v>
      </c>
      <c r="E98" s="949"/>
      <c r="F98" s="967"/>
      <c r="G98" s="968"/>
      <c r="H98" s="968"/>
      <c r="I98" s="968"/>
      <c r="J98" s="968"/>
      <c r="K98" s="968"/>
      <c r="L98" s="969"/>
      <c r="M98" s="516">
        <v>0</v>
      </c>
      <c r="N98" s="303">
        <f>'Cost-Share'!L83</f>
        <v>0</v>
      </c>
      <c r="Q98" s="23"/>
    </row>
    <row r="99" spans="2:17" ht="15" customHeight="1">
      <c r="B99" s="970">
        <v>284010</v>
      </c>
      <c r="C99" s="971"/>
      <c r="D99" s="948" t="str">
        <f>IF(ISERROR(VLOOKUP(B99,Constants!$X$2:AA$473,1,FALSE)),"No Match",VLOOKUP('Bdgt Yr 1'!B99,Constants!$X$2:$AA$473,4,FALSE))</f>
        <v>Postage</v>
      </c>
      <c r="E99" s="949"/>
      <c r="F99" s="967"/>
      <c r="G99" s="968"/>
      <c r="H99" s="968"/>
      <c r="I99" s="968"/>
      <c r="J99" s="968"/>
      <c r="K99" s="968"/>
      <c r="L99" s="969"/>
      <c r="M99" s="516">
        <v>0</v>
      </c>
      <c r="N99" s="303">
        <f>'Cost-Share'!L84</f>
        <v>0</v>
      </c>
      <c r="Q99" s="23"/>
    </row>
    <row r="100" spans="2:17" ht="15" customHeight="1">
      <c r="B100" s="970">
        <v>284040</v>
      </c>
      <c r="C100" s="971"/>
      <c r="D100" s="948" t="str">
        <f>IF(ISERROR(VLOOKUP(B100,Constants!$X$2:AA$473,1,FALSE)),"No Match",VLOOKUP('Bdgt Yr 1'!B100,Constants!$X$2:$AA$473,4,FALSE))</f>
        <v>Freight/Delivery Services</v>
      </c>
      <c r="E100" s="949"/>
      <c r="F100" s="967"/>
      <c r="G100" s="968"/>
      <c r="H100" s="968"/>
      <c r="I100" s="968"/>
      <c r="J100" s="968"/>
      <c r="K100" s="968"/>
      <c r="L100" s="969"/>
      <c r="M100" s="516">
        <v>0</v>
      </c>
      <c r="N100" s="303">
        <f>'Cost-Share'!L85</f>
        <v>0</v>
      </c>
      <c r="Q100" s="23"/>
    </row>
    <row r="101" spans="2:17" ht="15" customHeight="1">
      <c r="B101" s="970">
        <v>285010</v>
      </c>
      <c r="C101" s="971"/>
      <c r="D101" s="948" t="str">
        <f>IF(ISERROR(VLOOKUP(B101,Constants!$X$2:AA$473,1,FALSE)),"No Match",VLOOKUP('Bdgt Yr 1'!B101,Constants!$X$2:$AA$473,4,FALSE))</f>
        <v>Printing And Binding</v>
      </c>
      <c r="E101" s="949"/>
      <c r="F101" s="967"/>
      <c r="G101" s="968"/>
      <c r="H101" s="968"/>
      <c r="I101" s="968"/>
      <c r="J101" s="968"/>
      <c r="K101" s="968"/>
      <c r="L101" s="969"/>
      <c r="M101" s="516">
        <v>0</v>
      </c>
      <c r="N101" s="303">
        <f>'Cost-Share'!L86</f>
        <v>0</v>
      </c>
      <c r="Q101" s="23"/>
    </row>
    <row r="102" spans="2:17" ht="15" customHeight="1">
      <c r="B102" s="970">
        <v>453410</v>
      </c>
      <c r="C102" s="971"/>
      <c r="D102" s="948" t="str">
        <f>IF(ISERROR(VLOOKUP(B102,Constants!$X$2:AA$473,1,FALSE)),"No Match",VLOOKUP('Bdgt Yr 1'!B102,Constants!$X$2:$AA$473,4,FALSE))</f>
        <v>Computer &amp; Printer Purchase Less Than $5,000 - Add $130/Year/Device for IT Services</v>
      </c>
      <c r="E102" s="949"/>
      <c r="F102" s="967"/>
      <c r="G102" s="968"/>
      <c r="H102" s="968"/>
      <c r="I102" s="968"/>
      <c r="J102" s="968"/>
      <c r="K102" s="968"/>
      <c r="L102" s="969"/>
      <c r="M102" s="516">
        <v>0</v>
      </c>
      <c r="N102" s="303">
        <f>'Cost-Share'!L87</f>
        <v>0</v>
      </c>
      <c r="Q102" s="23"/>
    </row>
    <row r="103" spans="2:17" ht="15" customHeight="1">
      <c r="B103" s="970">
        <v>471310</v>
      </c>
      <c r="C103" s="971"/>
      <c r="D103" s="1549" t="str">
        <f>IF(ISERROR(VLOOKUP(B103,Constants!$X$2:AA$473,1,FALSE)),"No Match",VLOOKUP('Bdgt Yr 1'!B103,Constants!$X$2:$AA$473,4,FALSE))</f>
        <v>PC Software Purchase</v>
      </c>
      <c r="E103" s="1550"/>
      <c r="F103" s="967"/>
      <c r="G103" s="968"/>
      <c r="H103" s="968"/>
      <c r="I103" s="968"/>
      <c r="J103" s="968"/>
      <c r="K103" s="968"/>
      <c r="L103" s="969"/>
      <c r="M103" s="516">
        <v>0</v>
      </c>
      <c r="N103" s="303">
        <f>'Cost-Share'!L88</f>
        <v>0</v>
      </c>
      <c r="Q103" s="23"/>
    </row>
    <row r="104" spans="2:17" ht="15" customHeight="1">
      <c r="B104" s="970">
        <v>218105</v>
      </c>
      <c r="C104" s="971"/>
      <c r="D104" s="1549" t="str">
        <f>IF(ISERROR(VLOOKUP(B104,Constants!$X$2:AA$473,1,FALSE)),"No Match",VLOOKUP('Bdgt Yr 1'!B104,Constants!$X$2:$AA$473,4,FALSE))</f>
        <v>Contract Food Services</v>
      </c>
      <c r="E104" s="1550"/>
      <c r="F104" s="967"/>
      <c r="G104" s="968"/>
      <c r="H104" s="968"/>
      <c r="I104" s="968"/>
      <c r="J104" s="968"/>
      <c r="K104" s="968"/>
      <c r="L104" s="969"/>
      <c r="M104" s="516">
        <v>0</v>
      </c>
      <c r="N104" s="303">
        <f>'Cost-Share'!L89</f>
        <v>0</v>
      </c>
      <c r="Q104" s="23"/>
    </row>
    <row r="105" spans="2:17" ht="15" customHeight="1">
      <c r="B105" s="1053">
        <v>218106</v>
      </c>
      <c r="C105" s="1054"/>
      <c r="D105" s="1549" t="str">
        <f>IF(ISERROR(VLOOKUP(B105,Constants!$X$2:AA$473,1,FALSE)),"No Match",VLOOKUP('Bdgt Yr 1'!B105,Constants!$X$2:$AA$473,4,FALSE))</f>
        <v>Food Services for Conferences</v>
      </c>
      <c r="E105" s="1550"/>
      <c r="F105" s="967"/>
      <c r="G105" s="968"/>
      <c r="H105" s="968"/>
      <c r="I105" s="968"/>
      <c r="J105" s="968"/>
      <c r="K105" s="968"/>
      <c r="L105" s="969"/>
      <c r="M105" s="516">
        <v>0</v>
      </c>
      <c r="N105" s="303">
        <f>'Cost-Share'!L90</f>
        <v>0</v>
      </c>
      <c r="Q105" s="23"/>
    </row>
    <row r="106" spans="2:17" ht="15" customHeight="1">
      <c r="B106" s="970">
        <v>341010</v>
      </c>
      <c r="C106" s="971"/>
      <c r="D106" s="1549" t="str">
        <f>IF(ISERROR(VLOOKUP(B106,Constants!$X$2:AA$473,1,FALSE)),"No Match",VLOOKUP('Bdgt Yr 1'!B106,Constants!$X$2:$AA$473,4,FALSE))</f>
        <v xml:space="preserve">Purchase of Food Products       </v>
      </c>
      <c r="E106" s="1550"/>
      <c r="F106" s="967"/>
      <c r="G106" s="968"/>
      <c r="H106" s="968"/>
      <c r="I106" s="968"/>
      <c r="J106" s="968"/>
      <c r="K106" s="968"/>
      <c r="L106" s="969"/>
      <c r="M106" s="516">
        <v>0</v>
      </c>
      <c r="N106" s="303">
        <f>'Cost-Share'!L91</f>
        <v>0</v>
      </c>
      <c r="Q106" s="23"/>
    </row>
    <row r="107" spans="2:17" ht="15" customHeight="1">
      <c r="B107" s="970">
        <v>251210</v>
      </c>
      <c r="C107" s="971"/>
      <c r="D107" s="1549" t="str">
        <f>IF(ISERROR(VLOOKUP(B107,Constants!$X$2:AA$473,1,FALSE)),"No Match",VLOOKUP('Bdgt Yr 1'!B107,Constants!$X$2:$AA$473,4,FALSE))</f>
        <v>Rent/Lease Building/Office Space</v>
      </c>
      <c r="E107" s="1550"/>
      <c r="F107" s="967"/>
      <c r="G107" s="968"/>
      <c r="H107" s="968"/>
      <c r="I107" s="968"/>
      <c r="J107" s="968"/>
      <c r="K107" s="968"/>
      <c r="L107" s="969"/>
      <c r="M107" s="516">
        <v>0</v>
      </c>
      <c r="N107" s="303">
        <f>'Cost-Share'!L92</f>
        <v>0</v>
      </c>
      <c r="Q107" s="23"/>
    </row>
    <row r="108" spans="2:17" ht="15" customHeight="1">
      <c r="B108" s="970">
        <v>251310</v>
      </c>
      <c r="C108" s="971"/>
      <c r="D108" s="1549" t="str">
        <f>IF(ISERROR(VLOOKUP(B108,Constants!$X$2:AA$473,1,FALSE)),"No Match",VLOOKUP('Bdgt Yr 1'!B108,Constants!$X$2:$AA$473,4,FALSE))</f>
        <v>Rent/Lease Other Facilities</v>
      </c>
      <c r="E108" s="1550"/>
      <c r="F108" s="967"/>
      <c r="G108" s="968"/>
      <c r="H108" s="968"/>
      <c r="I108" s="968"/>
      <c r="J108" s="968"/>
      <c r="K108" s="968"/>
      <c r="L108" s="969"/>
      <c r="M108" s="516">
        <v>0</v>
      </c>
      <c r="N108" s="303">
        <f>'Cost-Share'!L93</f>
        <v>0</v>
      </c>
      <c r="Q108" s="23"/>
    </row>
    <row r="109" spans="2:17" ht="15" customHeight="1">
      <c r="B109" s="970">
        <v>251320</v>
      </c>
      <c r="C109" s="971"/>
      <c r="D109" s="1549" t="str">
        <f>IF(ISERROR(VLOOKUP(B109,Constants!$X$2:AA$473,1,FALSE)),"No Match",VLOOKUP('Bdgt Yr 1'!B109,Constants!$X$2:$AA$473,4,FALSE))</f>
        <v>Room Rental for Conferences</v>
      </c>
      <c r="E109" s="1550"/>
      <c r="F109" s="967"/>
      <c r="G109" s="968"/>
      <c r="H109" s="968"/>
      <c r="I109" s="968"/>
      <c r="J109" s="968"/>
      <c r="K109" s="968"/>
      <c r="L109" s="969"/>
      <c r="M109" s="516">
        <v>0</v>
      </c>
      <c r="N109" s="303">
        <f>'Cost-Share'!L94</f>
        <v>0</v>
      </c>
      <c r="Q109" s="23"/>
    </row>
    <row r="110" spans="2:17" ht="15" customHeight="1">
      <c r="B110" s="970">
        <v>252110</v>
      </c>
      <c r="C110" s="971"/>
      <c r="D110" s="1549" t="str">
        <f>IF(ISERROR(VLOOKUP(B110,Constants!$X$2:AA$473,1,FALSE)),"No Match",VLOOKUP('Bdgt Yr 1'!B110,Constants!$X$2:$AA$473,4,FALSE))</f>
        <v>Rent/Lease Motor Vehicle</v>
      </c>
      <c r="E110" s="1550"/>
      <c r="F110" s="967"/>
      <c r="G110" s="968"/>
      <c r="H110" s="968"/>
      <c r="I110" s="968"/>
      <c r="J110" s="968"/>
      <c r="K110" s="968"/>
      <c r="L110" s="969"/>
      <c r="M110" s="516">
        <v>0</v>
      </c>
      <c r="N110" s="303">
        <f>'Cost-Share'!L95</f>
        <v>0</v>
      </c>
      <c r="Q110" s="23"/>
    </row>
    <row r="111" spans="2:17">
      <c r="B111" s="970">
        <v>219912</v>
      </c>
      <c r="C111" s="971"/>
      <c r="D111" s="1549" t="str">
        <f>IF(ISERROR(VLOOKUP(B111,Constants!$X$2:AA$473,1,FALSE)),"No Match",VLOOKUP('Bdgt Yr 1'!B111,Constants!$X$2:$AA$473,4,FALSE))</f>
        <v>Research Participant Payments/Incentives</v>
      </c>
      <c r="E111" s="1550"/>
      <c r="F111" s="967"/>
      <c r="G111" s="968"/>
      <c r="H111" s="968"/>
      <c r="I111" s="968"/>
      <c r="J111" s="968"/>
      <c r="K111" s="968"/>
      <c r="L111" s="969"/>
      <c r="M111" s="516">
        <v>0</v>
      </c>
      <c r="N111" s="303">
        <f>'Cost-Share'!L96</f>
        <v>0</v>
      </c>
      <c r="Q111" s="23"/>
    </row>
    <row r="112" spans="2:17" ht="15" thickBot="1">
      <c r="B112" s="1051">
        <v>584037</v>
      </c>
      <c r="C112" s="1052"/>
      <c r="D112" s="1551" t="str">
        <f>IF(ISERROR(VLOOKUP(B112,Constants!$X$2:AA$473,1,FALSE)),"No Match",VLOOKUP('Bdgt Yr 1'!B112,Constants!$X$2:$AA$473,4,FALSE))</f>
        <v>Gift Cards--NON Employee Only</v>
      </c>
      <c r="E112" s="1552"/>
      <c r="F112" s="967"/>
      <c r="G112" s="968"/>
      <c r="H112" s="968"/>
      <c r="I112" s="968"/>
      <c r="J112" s="968"/>
      <c r="K112" s="968"/>
      <c r="L112" s="969"/>
      <c r="M112" s="142">
        <v>0</v>
      </c>
      <c r="N112" s="303">
        <f>'Cost-Share'!L97</f>
        <v>0</v>
      </c>
      <c r="Q112" s="23"/>
    </row>
    <row r="113" spans="2:21" ht="15" thickBot="1">
      <c r="B113" s="1553" t="s">
        <v>215</v>
      </c>
      <c r="C113" s="1554"/>
      <c r="D113" s="1554"/>
      <c r="E113" s="1554"/>
      <c r="F113" s="1554"/>
      <c r="G113" s="1554"/>
      <c r="H113" s="1554"/>
      <c r="I113" s="1554"/>
      <c r="J113" s="1554"/>
      <c r="K113" s="1554"/>
      <c r="L113" s="1555"/>
      <c r="M113" s="236">
        <f>SUM(M89:M112)</f>
        <v>0</v>
      </c>
      <c r="N113" s="304">
        <f>SUM(N89:N112)</f>
        <v>0</v>
      </c>
      <c r="Q113" s="23"/>
    </row>
    <row r="114" spans="2:21" ht="7.5" customHeight="1" thickBot="1">
      <c r="B114" s="1021"/>
      <c r="C114" s="1022"/>
      <c r="D114" s="1022"/>
      <c r="E114" s="1022"/>
      <c r="F114" s="1022"/>
      <c r="G114" s="1022"/>
      <c r="H114" s="1022"/>
      <c r="I114" s="1022"/>
      <c r="J114" s="1022"/>
      <c r="K114" s="1022"/>
      <c r="L114" s="1022"/>
      <c r="M114" s="1022"/>
      <c r="N114" s="1023"/>
      <c r="Q114" s="23"/>
    </row>
    <row r="115" spans="2:21" ht="15" thickBot="1">
      <c r="B115" s="996" t="s">
        <v>216</v>
      </c>
      <c r="C115" s="997"/>
      <c r="D115" s="997"/>
      <c r="E115" s="997"/>
      <c r="F115" s="997"/>
      <c r="G115" s="997"/>
      <c r="H115" s="997"/>
      <c r="I115" s="997"/>
      <c r="J115" s="997"/>
      <c r="K115" s="997"/>
      <c r="L115" s="1018"/>
      <c r="M115" s="236">
        <f>+M54+M67+M86+M74+M113+M62+M81</f>
        <v>0</v>
      </c>
      <c r="N115" s="304">
        <f>'Cost-Share'!L100</f>
        <v>0</v>
      </c>
      <c r="Q115" s="23"/>
    </row>
    <row r="116" spans="2:21" ht="7.5" customHeight="1" thickBot="1">
      <c r="B116" s="1021"/>
      <c r="C116" s="1022"/>
      <c r="D116" s="1022"/>
      <c r="E116" s="1022"/>
      <c r="F116" s="1022"/>
      <c r="G116" s="1022"/>
      <c r="H116" s="1022"/>
      <c r="I116" s="1022"/>
      <c r="J116" s="1022"/>
      <c r="K116" s="1022"/>
      <c r="L116" s="1022"/>
      <c r="M116" s="1022"/>
      <c r="N116" s="1023"/>
      <c r="Q116" s="23"/>
    </row>
    <row r="117" spans="2:21" ht="15" thickBot="1">
      <c r="B117" s="1055" t="s">
        <v>217</v>
      </c>
      <c r="C117" s="1056"/>
      <c r="D117" s="1056"/>
      <c r="E117" s="1056"/>
      <c r="F117" s="1056"/>
      <c r="G117" s="1056"/>
      <c r="H117" s="1056"/>
      <c r="I117" s="1056"/>
      <c r="J117" s="1056"/>
      <c r="K117" s="1056"/>
      <c r="L117" s="1057"/>
      <c r="M117" s="525">
        <f>M62+M67+M74+M81-L81</f>
        <v>0</v>
      </c>
      <c r="N117" s="304">
        <f>'Cost-Share'!L102</f>
        <v>0</v>
      </c>
      <c r="Q117" s="23"/>
    </row>
    <row r="118" spans="2:21" ht="7.5" customHeight="1" thickBot="1">
      <c r="B118" s="513"/>
      <c r="C118" s="514"/>
      <c r="D118" s="514"/>
      <c r="E118" s="514"/>
      <c r="F118" s="514"/>
      <c r="G118" s="514"/>
      <c r="H118" s="514"/>
      <c r="I118" s="514"/>
      <c r="J118" s="514"/>
      <c r="K118" s="514"/>
      <c r="L118" s="514"/>
      <c r="M118" s="514"/>
      <c r="N118" s="147"/>
      <c r="Q118" s="23"/>
    </row>
    <row r="119" spans="2:21">
      <c r="B119" s="1048" t="s">
        <v>218</v>
      </c>
      <c r="C119" s="997"/>
      <c r="D119" s="997"/>
      <c r="E119" s="997"/>
      <c r="F119" s="997"/>
      <c r="G119" s="474" t="s">
        <v>219</v>
      </c>
      <c r="H119" s="475">
        <f>'Budget Summary'!$E$15</f>
        <v>0.47599999999999998</v>
      </c>
      <c r="I119" s="476"/>
      <c r="J119" s="477" t="s">
        <v>220</v>
      </c>
      <c r="K119" s="478">
        <f>M115-M117</f>
        <v>0</v>
      </c>
      <c r="L119" s="479"/>
      <c r="M119" s="236">
        <f>ROUNDUP(H119*K119,0)</f>
        <v>0</v>
      </c>
      <c r="N119" s="304">
        <f>'Cost-Share'!L104</f>
        <v>0</v>
      </c>
      <c r="Q119" s="23"/>
      <c r="R119" s="480"/>
      <c r="S119" s="480"/>
      <c r="T119" s="480"/>
      <c r="U119" s="480"/>
    </row>
    <row r="120" spans="2:21" ht="7.5" customHeight="1" thickBot="1">
      <c r="B120" s="1021"/>
      <c r="C120" s="1022"/>
      <c r="D120" s="1022"/>
      <c r="E120" s="1022"/>
      <c r="F120" s="1022"/>
      <c r="G120" s="1022"/>
      <c r="H120" s="1022"/>
      <c r="I120" s="1022"/>
      <c r="J120" s="1022"/>
      <c r="K120" s="1022"/>
      <c r="L120" s="1022"/>
      <c r="M120" s="1022"/>
      <c r="N120" s="1023"/>
      <c r="Q120" s="23"/>
      <c r="R120" s="480"/>
      <c r="S120" s="480"/>
      <c r="T120" s="480"/>
      <c r="U120" s="480"/>
    </row>
    <row r="121" spans="2:21" ht="15" customHeight="1" thickBot="1">
      <c r="B121" s="996" t="s">
        <v>221</v>
      </c>
      <c r="C121" s="997"/>
      <c r="D121" s="997"/>
      <c r="E121" s="997"/>
      <c r="F121" s="997"/>
      <c r="G121" s="997"/>
      <c r="H121" s="997"/>
      <c r="I121" s="997"/>
      <c r="J121" s="997"/>
      <c r="K121" s="997"/>
      <c r="L121" s="1018"/>
      <c r="M121" s="345">
        <f>+M115+M119</f>
        <v>0</v>
      </c>
      <c r="N121" s="346">
        <f>+N115+N119</f>
        <v>0</v>
      </c>
      <c r="O121" s="259" t="s">
        <v>222</v>
      </c>
      <c r="P121" s="261">
        <v>0</v>
      </c>
      <c r="Q121" s="23"/>
      <c r="R121" s="480"/>
      <c r="S121" s="480"/>
      <c r="T121" s="480"/>
      <c r="U121" s="480"/>
    </row>
    <row r="122" spans="2:21" ht="7.5" customHeight="1" thickBot="1">
      <c r="B122" s="1021"/>
      <c r="C122" s="1022"/>
      <c r="D122" s="1022"/>
      <c r="E122" s="1022"/>
      <c r="F122" s="1022"/>
      <c r="G122" s="1022"/>
      <c r="H122" s="1022"/>
      <c r="I122" s="1022"/>
      <c r="J122" s="1022"/>
      <c r="K122" s="1022"/>
      <c r="L122" s="1022"/>
      <c r="M122" s="1022"/>
      <c r="N122" s="1023"/>
      <c r="O122" s="195"/>
      <c r="P122" s="195"/>
      <c r="Q122" s="23"/>
    </row>
    <row r="123" spans="2:21" ht="15" thickBot="1">
      <c r="B123" s="482"/>
      <c r="C123" s="483"/>
      <c r="D123" s="483"/>
      <c r="E123" s="483"/>
      <c r="F123" s="483"/>
      <c r="G123" s="483"/>
      <c r="H123" s="483"/>
      <c r="I123" s="483"/>
      <c r="J123" s="483"/>
      <c r="K123" s="483"/>
      <c r="L123" s="484" t="s">
        <v>223</v>
      </c>
      <c r="M123" s="1024">
        <f>+M121+N121</f>
        <v>0</v>
      </c>
      <c r="N123" s="1025"/>
      <c r="O123" s="259" t="s">
        <v>224</v>
      </c>
      <c r="P123" s="261">
        <f>(P121-M117)/(H119+1)</f>
        <v>0</v>
      </c>
      <c r="Q123" s="23"/>
      <c r="R123" s="480"/>
      <c r="S123" s="480"/>
      <c r="T123" s="480"/>
      <c r="U123" s="480"/>
    </row>
    <row r="124" spans="2:21">
      <c r="B124" s="1005"/>
      <c r="C124" s="1005"/>
      <c r="D124" s="1005"/>
      <c r="E124" s="1005"/>
      <c r="F124" s="1005"/>
      <c r="G124" s="1005"/>
      <c r="H124" s="1005"/>
      <c r="I124" s="1005"/>
      <c r="J124" s="1005"/>
      <c r="K124" s="1005"/>
      <c r="L124" s="1005"/>
      <c r="M124" s="1005"/>
      <c r="N124" s="1005"/>
      <c r="Q124" s="23"/>
      <c r="R124" s="480"/>
      <c r="S124" s="480"/>
      <c r="T124" s="480"/>
      <c r="U124" s="480"/>
    </row>
    <row r="125" spans="2:21">
      <c r="B125" s="1005"/>
      <c r="C125" s="1005"/>
      <c r="D125" s="1005"/>
      <c r="E125" s="1005"/>
      <c r="F125" s="1005"/>
      <c r="G125" s="1005"/>
      <c r="H125" s="1005"/>
      <c r="I125" s="1005"/>
      <c r="J125" s="1005"/>
      <c r="K125" s="1005"/>
      <c r="L125" s="1005"/>
      <c r="M125" s="1005"/>
      <c r="N125" s="1005"/>
      <c r="Q125" s="23"/>
      <c r="R125" s="487"/>
      <c r="S125" s="487"/>
      <c r="T125" s="487"/>
      <c r="U125" s="487"/>
    </row>
    <row r="126" spans="2:21">
      <c r="B126" s="481"/>
      <c r="C126" s="473"/>
      <c r="D126" s="473"/>
      <c r="E126" s="473"/>
      <c r="F126" s="473"/>
      <c r="G126" s="473"/>
      <c r="H126" s="485"/>
      <c r="I126" s="485"/>
      <c r="J126" s="485"/>
      <c r="K126" s="485"/>
      <c r="L126" s="486"/>
      <c r="M126" s="486"/>
      <c r="N126" s="486"/>
      <c r="O126" s="486"/>
      <c r="P126" s="486"/>
      <c r="Q126" s="23"/>
      <c r="R126" s="480"/>
      <c r="S126" s="480"/>
      <c r="T126" s="480"/>
      <c r="U126" s="480"/>
    </row>
    <row r="127" spans="2:21">
      <c r="B127" s="481"/>
      <c r="C127" s="473"/>
      <c r="D127" s="473"/>
      <c r="E127" s="473"/>
      <c r="F127" s="473"/>
      <c r="G127" s="473"/>
      <c r="H127" s="485"/>
      <c r="I127" s="485"/>
      <c r="J127" s="485"/>
      <c r="K127" s="485"/>
      <c r="L127" s="486"/>
      <c r="M127" s="486"/>
      <c r="N127" s="486"/>
      <c r="O127" s="486"/>
      <c r="P127" s="486"/>
      <c r="Q127" s="23"/>
      <c r="R127" s="487"/>
      <c r="S127" s="487"/>
      <c r="T127" s="487"/>
      <c r="U127" s="487"/>
    </row>
    <row r="128" spans="2:21">
      <c r="B128" s="481"/>
      <c r="C128" s="473"/>
      <c r="D128" s="473"/>
      <c r="E128" s="473"/>
      <c r="F128" s="473"/>
      <c r="G128" s="473"/>
      <c r="H128" s="485"/>
      <c r="I128" s="485"/>
      <c r="J128" s="485"/>
      <c r="K128" s="485"/>
      <c r="L128" s="486"/>
      <c r="M128" s="486"/>
      <c r="N128" s="486"/>
      <c r="O128" s="486"/>
      <c r="P128" s="486"/>
      <c r="Q128" s="23"/>
      <c r="R128" s="480"/>
      <c r="S128" s="480"/>
      <c r="T128" s="480"/>
      <c r="U128" s="480"/>
    </row>
    <row r="129" spans="2:21">
      <c r="B129" s="481"/>
      <c r="C129" s="473"/>
      <c r="D129" s="473"/>
      <c r="E129" s="473"/>
      <c r="F129" s="473"/>
      <c r="G129" s="473"/>
      <c r="H129" s="485"/>
      <c r="I129" s="485"/>
      <c r="J129" s="485"/>
      <c r="K129" s="485"/>
      <c r="L129" s="486"/>
      <c r="M129" s="486"/>
      <c r="N129" s="486"/>
      <c r="O129" s="486"/>
      <c r="P129" s="486"/>
      <c r="Q129" s="23"/>
      <c r="R129" s="487"/>
      <c r="S129" s="487"/>
      <c r="T129" s="487"/>
      <c r="U129" s="487"/>
    </row>
    <row r="130" spans="2:21">
      <c r="B130" s="481"/>
      <c r="C130" s="473"/>
      <c r="D130" s="473"/>
      <c r="E130" s="473"/>
      <c r="F130" s="473"/>
      <c r="G130" s="473"/>
      <c r="H130" s="485"/>
      <c r="I130" s="485"/>
      <c r="J130" s="485"/>
      <c r="K130" s="485"/>
      <c r="L130" s="486"/>
      <c r="M130" s="486"/>
      <c r="N130" s="486"/>
      <c r="O130" s="486"/>
      <c r="P130" s="486"/>
      <c r="Q130" s="23"/>
      <c r="R130" s="480"/>
      <c r="S130" s="480"/>
      <c r="T130" s="480"/>
      <c r="U130" s="480"/>
    </row>
    <row r="131" spans="2:21">
      <c r="B131" s="481"/>
      <c r="C131" s="473"/>
      <c r="D131" s="473"/>
      <c r="E131" s="473"/>
      <c r="F131" s="473"/>
      <c r="G131" s="473"/>
      <c r="H131" s="473"/>
      <c r="I131" s="473"/>
      <c r="J131" s="486"/>
      <c r="K131" s="486"/>
      <c r="L131" s="486"/>
      <c r="M131" s="486"/>
      <c r="N131" s="486"/>
      <c r="O131" s="486"/>
      <c r="P131" s="486"/>
      <c r="Q131" s="23"/>
      <c r="R131" s="487"/>
      <c r="S131" s="487"/>
      <c r="T131" s="487"/>
      <c r="U131" s="487"/>
    </row>
    <row r="132" spans="2:21">
      <c r="B132" s="481"/>
      <c r="C132" s="473"/>
      <c r="D132" s="473"/>
      <c r="E132" s="473"/>
      <c r="F132" s="473"/>
      <c r="G132" s="473"/>
      <c r="H132" s="473"/>
      <c r="I132" s="473"/>
      <c r="J132" s="486"/>
      <c r="K132" s="486"/>
      <c r="L132" s="486"/>
      <c r="M132" s="473"/>
      <c r="N132" s="473"/>
      <c r="O132" s="473"/>
      <c r="P132" s="473"/>
      <c r="Q132" s="23"/>
      <c r="R132" s="487"/>
      <c r="S132" s="487"/>
      <c r="T132" s="487"/>
      <c r="U132" s="487"/>
    </row>
    <row r="133" spans="2:21">
      <c r="B133" s="481"/>
      <c r="C133" s="473"/>
      <c r="D133" s="473"/>
      <c r="E133" s="473"/>
      <c r="F133" s="473"/>
      <c r="G133" s="473"/>
      <c r="H133" s="473"/>
      <c r="I133" s="473"/>
      <c r="J133" s="486"/>
      <c r="K133" s="486"/>
      <c r="L133" s="486"/>
      <c r="M133" s="486"/>
      <c r="N133" s="486"/>
      <c r="O133" s="486"/>
      <c r="P133" s="486"/>
      <c r="Q133" s="23"/>
      <c r="R133" s="487"/>
      <c r="S133" s="487"/>
      <c r="T133" s="487"/>
      <c r="U133" s="487"/>
    </row>
    <row r="134" spans="2:21">
      <c r="B134" s="481"/>
      <c r="C134" s="473"/>
      <c r="D134" s="473"/>
      <c r="E134" s="473"/>
      <c r="F134" s="473"/>
      <c r="G134" s="473"/>
      <c r="H134" s="473"/>
      <c r="I134" s="473"/>
      <c r="J134" s="486"/>
      <c r="K134" s="486"/>
      <c r="L134" s="486"/>
      <c r="M134" s="473"/>
      <c r="N134" s="473"/>
      <c r="O134" s="473"/>
      <c r="P134" s="473"/>
      <c r="Q134" s="23"/>
      <c r="R134" s="487"/>
      <c r="S134" s="487"/>
      <c r="T134" s="487"/>
      <c r="U134" s="487"/>
    </row>
    <row r="135" spans="2:21">
      <c r="B135" s="481"/>
      <c r="C135" s="473"/>
      <c r="D135" s="473"/>
      <c r="E135" s="473"/>
      <c r="F135" s="473"/>
      <c r="G135" s="473"/>
      <c r="H135" s="486"/>
      <c r="I135" s="486"/>
      <c r="J135" s="486"/>
      <c r="K135" s="486"/>
      <c r="L135" s="486"/>
      <c r="M135" s="486"/>
      <c r="N135" s="486"/>
      <c r="O135" s="486"/>
      <c r="P135" s="486"/>
      <c r="Q135" s="23"/>
      <c r="R135" s="487"/>
      <c r="S135" s="487"/>
      <c r="T135" s="487"/>
      <c r="U135" s="487"/>
    </row>
    <row r="136" spans="2:21">
      <c r="B136" s="488"/>
      <c r="C136" s="473"/>
      <c r="D136" s="473"/>
      <c r="E136" s="473"/>
      <c r="F136" s="473"/>
      <c r="G136" s="473"/>
      <c r="H136" s="473"/>
      <c r="I136" s="473"/>
      <c r="J136" s="486"/>
      <c r="K136" s="486"/>
      <c r="L136" s="486"/>
      <c r="M136" s="473"/>
      <c r="N136" s="473"/>
      <c r="O136" s="473"/>
      <c r="P136" s="473"/>
      <c r="Q136" s="23"/>
      <c r="R136" s="487"/>
      <c r="S136" s="487"/>
      <c r="T136" s="487"/>
      <c r="U136" s="487"/>
    </row>
    <row r="137" spans="2:21">
      <c r="B137" s="488"/>
      <c r="C137" s="473"/>
      <c r="D137" s="473"/>
      <c r="E137" s="473"/>
      <c r="F137" s="473"/>
      <c r="G137" s="473"/>
      <c r="H137" s="473"/>
      <c r="I137" s="473"/>
      <c r="J137" s="486"/>
      <c r="K137" s="486"/>
      <c r="L137" s="486"/>
      <c r="M137" s="486"/>
      <c r="N137" s="486"/>
      <c r="O137" s="486"/>
      <c r="P137" s="486"/>
      <c r="Q137" s="23"/>
      <c r="R137" s="487"/>
      <c r="S137" s="487"/>
      <c r="T137" s="487"/>
      <c r="U137" s="487"/>
    </row>
    <row r="138" spans="2:21">
      <c r="B138" s="488"/>
      <c r="C138" s="473"/>
      <c r="D138" s="473"/>
      <c r="E138" s="473"/>
      <c r="F138" s="473"/>
      <c r="G138" s="473"/>
      <c r="H138" s="473"/>
      <c r="I138" s="473"/>
      <c r="J138" s="473"/>
      <c r="K138" s="473"/>
      <c r="L138" s="473"/>
      <c r="M138" s="473"/>
      <c r="N138" s="473"/>
      <c r="O138" s="473"/>
      <c r="P138" s="473"/>
      <c r="Q138" s="23"/>
      <c r="R138" s="487"/>
      <c r="S138" s="487"/>
      <c r="T138" s="487"/>
      <c r="U138" s="487"/>
    </row>
    <row r="139" spans="2:21">
      <c r="B139" s="488"/>
      <c r="C139" s="473"/>
      <c r="D139" s="473"/>
      <c r="E139" s="473"/>
      <c r="F139" s="473"/>
      <c r="G139" s="473"/>
      <c r="H139" s="473"/>
      <c r="I139" s="473"/>
      <c r="J139" s="473"/>
      <c r="K139" s="473"/>
      <c r="L139" s="473"/>
      <c r="M139" s="473"/>
      <c r="N139" s="473"/>
      <c r="O139" s="473"/>
      <c r="P139" s="473"/>
      <c r="Q139" s="23"/>
      <c r="R139" s="487"/>
      <c r="S139" s="487"/>
      <c r="T139" s="487"/>
      <c r="U139" s="487"/>
    </row>
    <row r="140" spans="2:21">
      <c r="B140" s="488"/>
      <c r="C140" s="473"/>
      <c r="D140" s="473"/>
      <c r="E140" s="473"/>
      <c r="F140" s="473"/>
      <c r="G140" s="473"/>
      <c r="H140" s="473"/>
      <c r="I140" s="473"/>
      <c r="J140" s="473"/>
      <c r="K140" s="473"/>
      <c r="L140" s="473"/>
      <c r="M140" s="473"/>
      <c r="N140" s="473"/>
      <c r="O140" s="473"/>
      <c r="P140" s="473"/>
      <c r="Q140" s="23"/>
      <c r="R140" s="487"/>
      <c r="S140" s="487"/>
      <c r="T140" s="487"/>
      <c r="U140" s="487"/>
    </row>
    <row r="141" spans="2:21">
      <c r="B141" s="488"/>
      <c r="C141" s="473"/>
      <c r="D141" s="473"/>
      <c r="E141" s="473"/>
      <c r="F141" s="473"/>
      <c r="G141" s="473"/>
      <c r="H141" s="473"/>
      <c r="I141" s="473"/>
      <c r="J141" s="473"/>
      <c r="K141" s="473"/>
      <c r="L141" s="473"/>
      <c r="M141" s="473"/>
      <c r="N141" s="473"/>
      <c r="O141" s="473"/>
      <c r="P141" s="473"/>
      <c r="Q141" s="23"/>
      <c r="R141" s="487"/>
      <c r="S141" s="487"/>
      <c r="T141" s="487"/>
      <c r="U141" s="487"/>
    </row>
    <row r="142" spans="2:21">
      <c r="B142" s="488"/>
      <c r="C142" s="473"/>
      <c r="D142" s="473"/>
      <c r="E142" s="473"/>
      <c r="F142" s="473"/>
      <c r="G142" s="473"/>
      <c r="H142" s="473"/>
      <c r="I142" s="473"/>
      <c r="J142" s="473"/>
      <c r="K142" s="473"/>
      <c r="L142" s="473"/>
      <c r="M142" s="473"/>
      <c r="N142" s="473"/>
      <c r="O142" s="473"/>
      <c r="P142" s="473"/>
      <c r="Q142" s="23"/>
      <c r="R142" s="487"/>
      <c r="S142" s="487"/>
      <c r="T142" s="487"/>
      <c r="U142" s="487"/>
    </row>
    <row r="143" spans="2:21">
      <c r="B143" s="488"/>
      <c r="C143" s="473"/>
      <c r="D143" s="473"/>
      <c r="E143" s="473"/>
      <c r="F143" s="473"/>
      <c r="G143" s="473"/>
      <c r="H143" s="473"/>
      <c r="I143" s="473"/>
      <c r="J143" s="473"/>
      <c r="K143" s="473"/>
      <c r="L143" s="473"/>
      <c r="M143" s="473"/>
      <c r="N143" s="473"/>
      <c r="O143" s="473"/>
      <c r="P143" s="473"/>
      <c r="Q143" s="23"/>
      <c r="R143" s="487"/>
      <c r="S143" s="487"/>
      <c r="T143" s="487"/>
      <c r="U143" s="487"/>
    </row>
    <row r="144" spans="2:21">
      <c r="B144" s="488"/>
      <c r="C144" s="473"/>
      <c r="D144" s="473"/>
      <c r="E144" s="473"/>
      <c r="F144" s="473"/>
      <c r="G144" s="473"/>
      <c r="H144" s="473"/>
      <c r="I144" s="473"/>
      <c r="J144" s="473"/>
      <c r="K144" s="473"/>
      <c r="L144" s="473"/>
      <c r="M144" s="473"/>
      <c r="N144" s="473"/>
      <c r="O144" s="473"/>
      <c r="P144" s="473"/>
      <c r="Q144" s="23"/>
      <c r="R144" s="487"/>
      <c r="S144" s="487"/>
      <c r="T144" s="487"/>
      <c r="U144" s="487"/>
    </row>
    <row r="145" spans="2:21">
      <c r="B145" s="488"/>
      <c r="C145" s="473"/>
      <c r="D145" s="473"/>
      <c r="E145" s="473"/>
      <c r="F145" s="473"/>
      <c r="G145" s="473"/>
      <c r="H145" s="473"/>
      <c r="I145" s="473"/>
      <c r="J145" s="473"/>
      <c r="K145" s="473"/>
      <c r="L145" s="473"/>
      <c r="M145" s="473"/>
      <c r="N145" s="473"/>
      <c r="O145" s="473"/>
      <c r="P145" s="473"/>
      <c r="Q145" s="23"/>
      <c r="R145" s="487"/>
      <c r="S145" s="487"/>
      <c r="T145" s="487"/>
      <c r="U145" s="487"/>
    </row>
    <row r="146" spans="2:21">
      <c r="B146" s="488"/>
      <c r="C146" s="473"/>
      <c r="D146" s="473"/>
      <c r="E146" s="473"/>
      <c r="F146" s="473"/>
      <c r="G146" s="473"/>
      <c r="H146" s="473"/>
      <c r="I146" s="473"/>
      <c r="J146" s="473"/>
      <c r="K146" s="473"/>
      <c r="L146" s="473"/>
      <c r="M146" s="473"/>
      <c r="N146" s="473"/>
      <c r="O146" s="473"/>
      <c r="P146" s="473"/>
      <c r="Q146" s="23"/>
      <c r="R146" s="487"/>
      <c r="S146" s="487"/>
      <c r="T146" s="487"/>
      <c r="U146" s="487"/>
    </row>
    <row r="147" spans="2:21">
      <c r="B147" s="488"/>
      <c r="C147" s="473"/>
      <c r="D147" s="473"/>
      <c r="E147" s="473"/>
      <c r="F147" s="473"/>
      <c r="G147" s="473"/>
      <c r="H147" s="473"/>
      <c r="I147" s="473"/>
      <c r="J147" s="473"/>
      <c r="K147" s="473"/>
      <c r="L147" s="473"/>
      <c r="M147" s="473"/>
      <c r="N147" s="473"/>
      <c r="O147" s="473"/>
      <c r="P147" s="473"/>
      <c r="Q147" s="23"/>
      <c r="R147" s="487"/>
      <c r="S147" s="487"/>
      <c r="T147" s="487"/>
      <c r="U147" s="487"/>
    </row>
    <row r="148" spans="2:21">
      <c r="B148" s="488"/>
      <c r="C148" s="473"/>
      <c r="D148" s="473"/>
      <c r="E148" s="473"/>
      <c r="F148" s="473"/>
      <c r="G148" s="473"/>
      <c r="H148" s="473"/>
      <c r="I148" s="473"/>
      <c r="J148" s="473"/>
      <c r="K148" s="473"/>
      <c r="L148" s="473"/>
      <c r="M148" s="473"/>
      <c r="N148" s="473"/>
      <c r="O148" s="473"/>
      <c r="P148" s="473"/>
      <c r="Q148" s="23"/>
    </row>
    <row r="149" spans="2:21">
      <c r="B149" s="488"/>
      <c r="C149" s="473"/>
      <c r="D149" s="473"/>
      <c r="E149" s="473"/>
      <c r="F149" s="473"/>
      <c r="G149" s="473"/>
      <c r="H149" s="473"/>
      <c r="I149" s="473"/>
      <c r="J149" s="473"/>
      <c r="K149" s="473"/>
      <c r="L149" s="473"/>
      <c r="M149" s="473"/>
      <c r="N149" s="473"/>
      <c r="O149" s="473"/>
      <c r="P149" s="473"/>
      <c r="Q149" s="23"/>
    </row>
    <row r="150" spans="2:21">
      <c r="B150" s="488"/>
      <c r="C150" s="473"/>
      <c r="D150" s="473"/>
      <c r="E150" s="473"/>
      <c r="F150" s="473"/>
      <c r="G150" s="473"/>
      <c r="H150" s="473"/>
      <c r="I150" s="473"/>
      <c r="J150" s="473"/>
      <c r="K150" s="473"/>
      <c r="L150" s="473"/>
      <c r="M150" s="473"/>
      <c r="N150" s="473"/>
      <c r="O150" s="473"/>
      <c r="P150" s="473"/>
      <c r="Q150" s="23"/>
    </row>
    <row r="151" spans="2:21" hidden="1">
      <c r="B151" s="488"/>
      <c r="C151" s="473"/>
      <c r="D151" s="473"/>
      <c r="E151" s="473"/>
      <c r="F151" s="473"/>
      <c r="G151" s="473"/>
      <c r="H151" s="473"/>
      <c r="I151" s="473"/>
      <c r="J151" s="473"/>
      <c r="K151" s="473"/>
      <c r="L151" s="473"/>
      <c r="M151" s="473"/>
      <c r="N151" s="473"/>
      <c r="O151" s="473"/>
      <c r="P151" s="473"/>
      <c r="Q151" s="23"/>
    </row>
    <row r="152" spans="2:21" hidden="1">
      <c r="B152" s="488"/>
      <c r="C152" s="473"/>
      <c r="D152" s="473"/>
      <c r="E152" s="473"/>
      <c r="F152" s="473"/>
      <c r="G152" s="473"/>
      <c r="H152" s="473"/>
      <c r="I152" s="473"/>
      <c r="J152" s="473"/>
      <c r="K152" s="473"/>
      <c r="L152" s="473"/>
      <c r="M152" s="473"/>
      <c r="N152" s="473"/>
      <c r="O152" s="473"/>
      <c r="P152" s="473"/>
      <c r="Q152" s="23"/>
    </row>
    <row r="153" spans="2:21" hidden="1">
      <c r="B153" s="488"/>
      <c r="C153" s="473"/>
      <c r="D153" s="473"/>
      <c r="E153" s="473"/>
      <c r="F153" s="473"/>
      <c r="G153" s="473"/>
      <c r="H153" s="473"/>
      <c r="I153" s="473"/>
      <c r="J153" s="473"/>
      <c r="K153" s="473"/>
      <c r="L153" s="473"/>
      <c r="M153" s="473"/>
      <c r="N153" s="473"/>
      <c r="O153" s="473"/>
      <c r="P153" s="473"/>
      <c r="Q153" s="23"/>
    </row>
    <row r="154" spans="2:21" hidden="1">
      <c r="B154" s="488"/>
      <c r="C154" s="473"/>
      <c r="D154" s="473"/>
      <c r="E154" s="473"/>
      <c r="F154" s="473"/>
      <c r="G154" s="473"/>
      <c r="H154" s="473"/>
      <c r="I154" s="473"/>
      <c r="J154" s="473"/>
      <c r="K154" s="473"/>
      <c r="L154" s="473"/>
      <c r="M154" s="473"/>
      <c r="N154" s="473"/>
      <c r="O154" s="473"/>
      <c r="P154" s="473"/>
      <c r="Q154" s="23"/>
    </row>
    <row r="155" spans="2:21" hidden="1">
      <c r="Q155" s="23"/>
    </row>
    <row r="156" spans="2:21">
      <c r="Q156" s="23"/>
    </row>
    <row r="157" spans="2:21">
      <c r="Q157" s="23"/>
    </row>
    <row r="158" spans="2:21">
      <c r="Q158" s="23"/>
    </row>
    <row r="159" spans="2:21">
      <c r="Q159" s="23"/>
    </row>
    <row r="160" spans="2:21">
      <c r="Q160" s="23"/>
    </row>
    <row r="161" spans="17:17">
      <c r="Q161" s="23"/>
    </row>
    <row r="162" spans="17:17">
      <c r="Q162" s="23"/>
    </row>
    <row r="163" spans="17:17">
      <c r="Q163" s="23"/>
    </row>
    <row r="164" spans="17:17">
      <c r="Q164" s="23"/>
    </row>
    <row r="165" spans="17:17">
      <c r="Q165" s="23"/>
    </row>
    <row r="166" spans="17:17">
      <c r="Q166" s="23"/>
    </row>
    <row r="167" spans="17:17">
      <c r="Q167" s="23"/>
    </row>
    <row r="168" spans="17:17">
      <c r="Q168" s="23"/>
    </row>
    <row r="169" spans="17:17">
      <c r="Q169" s="23"/>
    </row>
    <row r="170" spans="17:17">
      <c r="Q170" s="23"/>
    </row>
    <row r="171" spans="17:17">
      <c r="Q171" s="23"/>
    </row>
    <row r="172" spans="17:17">
      <c r="Q172" s="23"/>
    </row>
    <row r="173" spans="17:17">
      <c r="Q173" s="23"/>
    </row>
    <row r="174" spans="17:17">
      <c r="Q174" s="23"/>
    </row>
    <row r="175" spans="17:17">
      <c r="Q175" s="23"/>
    </row>
    <row r="176" spans="17:17">
      <c r="Q176" s="23"/>
    </row>
    <row r="177" spans="17:17">
      <c r="Q177" s="23"/>
    </row>
    <row r="178" spans="17:17">
      <c r="Q178" s="23"/>
    </row>
    <row r="179" spans="17:17">
      <c r="Q179" s="23"/>
    </row>
    <row r="180" spans="17:17">
      <c r="Q180" s="23"/>
    </row>
    <row r="181" spans="17:17">
      <c r="Q181" s="23"/>
    </row>
    <row r="182" spans="17:17">
      <c r="Q182" s="23"/>
    </row>
    <row r="183" spans="17:17">
      <c r="Q183" s="23"/>
    </row>
  </sheetData>
  <protectedRanges>
    <protectedRange sqref="I12:J23 M77:M80 F30:J31 B30:D31 F45:J51 D45:D48 E49 D50:D51 F59:M61 B59:D61 F70:M73 B70:D73 F65:M66 B65:D66 F77:K80 B77:D80 F84:M85 B84:D85 B37:D38 F89:M112 F37:H38 J37:K38 B12:G23" name="Range1"/>
    <protectedRange sqref="B45:C51 D49" name="Range1_1"/>
  </protectedRanges>
  <mergeCells count="249">
    <mergeCell ref="B84:C84"/>
    <mergeCell ref="B35:M35"/>
    <mergeCell ref="F83:M83"/>
    <mergeCell ref="B64:E64"/>
    <mergeCell ref="B83:E83"/>
    <mergeCell ref="B69:E69"/>
    <mergeCell ref="B76:E76"/>
    <mergeCell ref="F76:M76"/>
    <mergeCell ref="B77:C77"/>
    <mergeCell ref="B78:C78"/>
    <mergeCell ref="B79:C79"/>
    <mergeCell ref="B80:C80"/>
    <mergeCell ref="B82:M82"/>
    <mergeCell ref="B70:C70"/>
    <mergeCell ref="B68:M68"/>
    <mergeCell ref="F77:K77"/>
    <mergeCell ref="F78:K78"/>
    <mergeCell ref="B62:L62"/>
    <mergeCell ref="F72:L72"/>
    <mergeCell ref="F71:L71"/>
    <mergeCell ref="B40:M40"/>
    <mergeCell ref="F66:L66"/>
    <mergeCell ref="D47:G47"/>
    <mergeCell ref="D48:G48"/>
    <mergeCell ref="R43:U43"/>
    <mergeCell ref="B25:M25"/>
    <mergeCell ref="H51:I51"/>
    <mergeCell ref="H49:I49"/>
    <mergeCell ref="H50:I50"/>
    <mergeCell ref="B28:M28"/>
    <mergeCell ref="N28:P28"/>
    <mergeCell ref="B39:J39"/>
    <mergeCell ref="B48:C48"/>
    <mergeCell ref="B38:C38"/>
    <mergeCell ref="R41:U41"/>
    <mergeCell ref="B44:C44"/>
    <mergeCell ref="B42:M42"/>
    <mergeCell ref="K49:K51"/>
    <mergeCell ref="N35:P35"/>
    <mergeCell ref="H38:I38"/>
    <mergeCell ref="B55:M55"/>
    <mergeCell ref="B81:K81"/>
    <mergeCell ref="F106:L106"/>
    <mergeCell ref="B97:C97"/>
    <mergeCell ref="B98:C98"/>
    <mergeCell ref="B45:C45"/>
    <mergeCell ref="N43:P43"/>
    <mergeCell ref="B73:C73"/>
    <mergeCell ref="B46:C46"/>
    <mergeCell ref="B47:C47"/>
    <mergeCell ref="B43:M43"/>
    <mergeCell ref="B49:C49"/>
    <mergeCell ref="B50:C50"/>
    <mergeCell ref="B51:C51"/>
    <mergeCell ref="B60:C60"/>
    <mergeCell ref="B61:C61"/>
    <mergeCell ref="F61:L61"/>
    <mergeCell ref="B59:C59"/>
    <mergeCell ref="B57:M57"/>
    <mergeCell ref="B56:P56"/>
    <mergeCell ref="J59:L59"/>
    <mergeCell ref="J60:L60"/>
    <mergeCell ref="J58:L58"/>
    <mergeCell ref="F58:G58"/>
    <mergeCell ref="H58:I58"/>
    <mergeCell ref="B119:F119"/>
    <mergeCell ref="B115:L115"/>
    <mergeCell ref="B113:L113"/>
    <mergeCell ref="F88:M88"/>
    <mergeCell ref="B88:E88"/>
    <mergeCell ref="B111:C111"/>
    <mergeCell ref="B112:C112"/>
    <mergeCell ref="B105:C105"/>
    <mergeCell ref="B106:C106"/>
    <mergeCell ref="B107:C107"/>
    <mergeCell ref="B108:C108"/>
    <mergeCell ref="B109:C109"/>
    <mergeCell ref="F108:L108"/>
    <mergeCell ref="F105:L105"/>
    <mergeCell ref="F111:L111"/>
    <mergeCell ref="F112:L112"/>
    <mergeCell ref="F109:L109"/>
    <mergeCell ref="B117:L117"/>
    <mergeCell ref="B58:E58"/>
    <mergeCell ref="F60:G60"/>
    <mergeCell ref="B87:M87"/>
    <mergeCell ref="H59:I59"/>
    <mergeCell ref="H60:I60"/>
    <mergeCell ref="M2:P3"/>
    <mergeCell ref="C4:I4"/>
    <mergeCell ref="L4:P4"/>
    <mergeCell ref="F2:H3"/>
    <mergeCell ref="I2:K3"/>
    <mergeCell ref="L2:L3"/>
    <mergeCell ref="N10:P10"/>
    <mergeCell ref="F11:G11"/>
    <mergeCell ref="B6:P6"/>
    <mergeCell ref="B7:M7"/>
    <mergeCell ref="B8:P8"/>
    <mergeCell ref="B124:N125"/>
    <mergeCell ref="F107:L107"/>
    <mergeCell ref="F65:L65"/>
    <mergeCell ref="F110:L110"/>
    <mergeCell ref="F73:L73"/>
    <mergeCell ref="B85:C85"/>
    <mergeCell ref="B110:C110"/>
    <mergeCell ref="B67:L67"/>
    <mergeCell ref="B66:C66"/>
    <mergeCell ref="B74:L74"/>
    <mergeCell ref="B86:L86"/>
    <mergeCell ref="B71:C71"/>
    <mergeCell ref="B72:C72"/>
    <mergeCell ref="F84:L84"/>
    <mergeCell ref="F85:L85"/>
    <mergeCell ref="F70:L70"/>
    <mergeCell ref="B121:L121"/>
    <mergeCell ref="B65:C65"/>
    <mergeCell ref="B120:N120"/>
    <mergeCell ref="M123:N123"/>
    <mergeCell ref="B122:N122"/>
    <mergeCell ref="B75:M75"/>
    <mergeCell ref="B114:N114"/>
    <mergeCell ref="B116:N116"/>
    <mergeCell ref="F16:G16"/>
    <mergeCell ref="F17:G17"/>
    <mergeCell ref="B24:J24"/>
    <mergeCell ref="F21:G21"/>
    <mergeCell ref="F22:G22"/>
    <mergeCell ref="F23:G23"/>
    <mergeCell ref="B29:C29"/>
    <mergeCell ref="B30:C30"/>
    <mergeCell ref="B54:J54"/>
    <mergeCell ref="B52:J52"/>
    <mergeCell ref="F18:G18"/>
    <mergeCell ref="B53:M53"/>
    <mergeCell ref="D30:G30"/>
    <mergeCell ref="D31:G31"/>
    <mergeCell ref="D36:G36"/>
    <mergeCell ref="D37:G37"/>
    <mergeCell ref="D38:G38"/>
    <mergeCell ref="D44:G44"/>
    <mergeCell ref="D45:G45"/>
    <mergeCell ref="D46:G46"/>
    <mergeCell ref="D49:G49"/>
    <mergeCell ref="B41:P41"/>
    <mergeCell ref="H36:I36"/>
    <mergeCell ref="H37:I37"/>
    <mergeCell ref="R6:U6"/>
    <mergeCell ref="R28:U28"/>
    <mergeCell ref="B31:C31"/>
    <mergeCell ref="B36:C36"/>
    <mergeCell ref="B37:C37"/>
    <mergeCell ref="R35:U35"/>
    <mergeCell ref="R8:U8"/>
    <mergeCell ref="B9:M9"/>
    <mergeCell ref="B26:P26"/>
    <mergeCell ref="R26:U26"/>
    <mergeCell ref="B27:M27"/>
    <mergeCell ref="B32:M32"/>
    <mergeCell ref="B33:P33"/>
    <mergeCell ref="R33:U33"/>
    <mergeCell ref="B34:M34"/>
    <mergeCell ref="F19:G19"/>
    <mergeCell ref="F20:G20"/>
    <mergeCell ref="B10:M10"/>
    <mergeCell ref="F12:G12"/>
    <mergeCell ref="F13:G13"/>
    <mergeCell ref="F14:G14"/>
    <mergeCell ref="F15:G15"/>
    <mergeCell ref="R10:U10"/>
    <mergeCell ref="D29:G29"/>
    <mergeCell ref="B99:C99"/>
    <mergeCell ref="B100:C100"/>
    <mergeCell ref="B101:C101"/>
    <mergeCell ref="B102:C102"/>
    <mergeCell ref="B103:C103"/>
    <mergeCell ref="B104:C104"/>
    <mergeCell ref="B89:C89"/>
    <mergeCell ref="B90:C90"/>
    <mergeCell ref="B91:C91"/>
    <mergeCell ref="B92:C92"/>
    <mergeCell ref="B93:C93"/>
    <mergeCell ref="B94:C94"/>
    <mergeCell ref="B95:C95"/>
    <mergeCell ref="B96:C96"/>
    <mergeCell ref="F97:L97"/>
    <mergeCell ref="F98:L98"/>
    <mergeCell ref="F99:L99"/>
    <mergeCell ref="F100:L100"/>
    <mergeCell ref="F101:L101"/>
    <mergeCell ref="F102:L102"/>
    <mergeCell ref="F103:L103"/>
    <mergeCell ref="F104:L104"/>
    <mergeCell ref="F89:L89"/>
    <mergeCell ref="F90:L90"/>
    <mergeCell ref="F91:L91"/>
    <mergeCell ref="F92:L92"/>
    <mergeCell ref="F93:L93"/>
    <mergeCell ref="F94:L94"/>
    <mergeCell ref="F95:L95"/>
    <mergeCell ref="F96:L96"/>
    <mergeCell ref="D79:E79"/>
    <mergeCell ref="D80:E80"/>
    <mergeCell ref="D84:E84"/>
    <mergeCell ref="D85:E85"/>
    <mergeCell ref="D89:E89"/>
    <mergeCell ref="D90:E90"/>
    <mergeCell ref="D91:E91"/>
    <mergeCell ref="D50:G50"/>
    <mergeCell ref="D51:G51"/>
    <mergeCell ref="D59:E59"/>
    <mergeCell ref="D60:E60"/>
    <mergeCell ref="D61:E61"/>
    <mergeCell ref="D70:E70"/>
    <mergeCell ref="D71:E71"/>
    <mergeCell ref="D72:E72"/>
    <mergeCell ref="D73:E73"/>
    <mergeCell ref="D65:E65"/>
    <mergeCell ref="D66:E66"/>
    <mergeCell ref="F59:G59"/>
    <mergeCell ref="B63:M63"/>
    <mergeCell ref="F64:M64"/>
    <mergeCell ref="F69:M69"/>
    <mergeCell ref="F79:K79"/>
    <mergeCell ref="F80:K80"/>
    <mergeCell ref="D110:E110"/>
    <mergeCell ref="D111:E111"/>
    <mergeCell ref="D112:E112"/>
    <mergeCell ref="D2:E3"/>
    <mergeCell ref="D101:E101"/>
    <mergeCell ref="D102:E102"/>
    <mergeCell ref="D103:E103"/>
    <mergeCell ref="D104:E104"/>
    <mergeCell ref="D105:E105"/>
    <mergeCell ref="D106:E106"/>
    <mergeCell ref="D107:E107"/>
    <mergeCell ref="D108:E108"/>
    <mergeCell ref="D109:E109"/>
    <mergeCell ref="D92:E92"/>
    <mergeCell ref="D93:E93"/>
    <mergeCell ref="D94:E94"/>
    <mergeCell ref="D95:E95"/>
    <mergeCell ref="D96:E96"/>
    <mergeCell ref="D97:E97"/>
    <mergeCell ref="D98:E98"/>
    <mergeCell ref="D99:E99"/>
    <mergeCell ref="D100:E100"/>
    <mergeCell ref="D77:E77"/>
    <mergeCell ref="D78:E78"/>
  </mergeCells>
  <conditionalFormatting sqref="I12:I23">
    <cfRule type="expression" dxfId="4" priority="3">
      <formula>(B12+I12)&gt;12</formula>
    </cfRule>
  </conditionalFormatting>
  <dataValidations count="3">
    <dataValidation type="list" allowBlank="1" showInputMessage="1" showErrorMessage="1" sqref="C12:C23" xr:uid="{330AB2DA-3449-44F1-BE6E-CAAD512D25CF}">
      <formula1>"TSERS, ORP, Law Enforcement"</formula1>
    </dataValidation>
    <dataValidation type="list" allowBlank="1" showInputMessage="1" showErrorMessage="1" sqref="D12:D23" xr:uid="{796E6876-509E-4FEC-8747-7968BAE4BB49}">
      <formula1>"EHRA Reg - 111010, EHRA AY Effort - 115010, EHRA Summer X-Comp - 111010, SHRA - 121010"</formula1>
    </dataValidation>
    <dataValidation type="list" allowBlank="1" showInputMessage="1" showErrorMessage="1" sqref="B30:C31" xr:uid="{CF4FCF5A-0137-4ABA-9CEE-FFB9D7F40C0E}">
      <formula1>"EHRA Reg - 111010, EHRA Acad - 115010, Non-Student Temp - 131010, SHRA - 121010"</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DAEFF9A-9450-4BCB-A821-91D33B54CF4E}">
          <x14:formula1>
            <xm:f>'Tuition &amp; Fees'!$C$24:$D$24</xm:f>
          </x14:formula1>
          <xm:sqref>H59:H60</xm:sqref>
        </x14:dataValidation>
        <x14:dataValidation type="list" allowBlank="1" showInputMessage="1" showErrorMessage="1" xr:uid="{24F19951-1D9B-4B8F-AB2D-627279B2B227}">
          <x14:formula1>
            <xm:f>'Tuition &amp; Fees'!$B$4:$B$21</xm:f>
          </x14:formula1>
          <xm:sqref>J59:L59</xm:sqref>
        </x14:dataValidation>
        <x14:dataValidation type="list" allowBlank="1" showInputMessage="1" showErrorMessage="1" xr:uid="{2EECA36E-956C-45D7-B6EC-7749840B6FD4}">
          <x14:formula1>
            <xm:f>'Tuition &amp; Fees'!$B$25:$B$42</xm:f>
          </x14:formula1>
          <xm:sqref>J60:L60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ECC45-5680-4EF6-86CF-08277C15052D}">
  <sheetPr codeName="Sheet3"/>
  <dimension ref="A1:W154"/>
  <sheetViews>
    <sheetView showGridLines="0" topLeftCell="B1" zoomScaleNormal="100" workbookViewId="0">
      <selection activeCell="K4" sqref="K4"/>
    </sheetView>
  </sheetViews>
  <sheetFormatPr defaultColWidth="0" defaultRowHeight="14.25"/>
  <cols>
    <col min="1" max="1" width="2.140625" style="489" customWidth="1"/>
    <col min="2" max="2" width="17" style="394" customWidth="1"/>
    <col min="3" max="3" width="17" style="23" customWidth="1"/>
    <col min="4" max="4" width="28.140625" style="23" customWidth="1"/>
    <col min="5" max="5" width="52.7109375" style="23" customWidth="1"/>
    <col min="6" max="6" width="5.28515625" style="23" customWidth="1"/>
    <col min="7" max="7" width="6.5703125" style="23" customWidth="1"/>
    <col min="8" max="8" width="10.7109375" style="23" customWidth="1"/>
    <col min="9" max="9" width="10.42578125" style="23" customWidth="1"/>
    <col min="10" max="10" width="17.140625" style="23" customWidth="1"/>
    <col min="11" max="11" width="16" style="23" customWidth="1"/>
    <col min="12" max="12" width="15.5703125" style="23" customWidth="1"/>
    <col min="13" max="15" width="16.42578125" style="23" customWidth="1"/>
    <col min="16" max="16" width="15" style="23" customWidth="1"/>
    <col min="17" max="17" width="2.7109375" style="489" customWidth="1"/>
    <col min="18" max="21" width="15" style="395" customWidth="1"/>
    <col min="22" max="22" width="3.5703125" style="489" customWidth="1"/>
    <col min="23" max="16384" width="9.140625" style="23" hidden="1"/>
  </cols>
  <sheetData>
    <row r="1" spans="1:22" ht="7.5" customHeight="1" thickBot="1">
      <c r="A1" s="23"/>
      <c r="Q1" s="23"/>
      <c r="V1" s="23"/>
    </row>
    <row r="2" spans="1:22" s="398" customFormat="1" ht="14.25" customHeight="1">
      <c r="A2" s="23"/>
      <c r="B2" s="396" t="s">
        <v>225</v>
      </c>
      <c r="C2" s="397" t="str">
        <f>IF('Proposal Development Checklist'!$B$18=0,"-",'Bdgt Yr 1'!C3+1)</f>
        <v>-</v>
      </c>
      <c r="D2" s="944" t="s">
        <v>123</v>
      </c>
      <c r="E2" s="945"/>
      <c r="F2" s="1035" t="s">
        <v>124</v>
      </c>
      <c r="G2" s="1036"/>
      <c r="H2" s="1036"/>
      <c r="I2" s="1039" t="str">
        <f>T('Bdgt Yr 1'!I2)</f>
        <v/>
      </c>
      <c r="J2" s="1039"/>
      <c r="K2" s="945"/>
      <c r="L2" s="1041" t="s">
        <v>125</v>
      </c>
      <c r="M2" s="1026" t="str">
        <f>T('Bdgt Yr 1'!M2)</f>
        <v/>
      </c>
      <c r="N2" s="1026"/>
      <c r="O2" s="1026"/>
      <c r="P2" s="1027"/>
      <c r="R2" s="404"/>
      <c r="S2" s="404"/>
      <c r="T2" s="404"/>
      <c r="U2" s="404"/>
    </row>
    <row r="3" spans="1:22" s="398" customFormat="1" ht="14.25" customHeight="1">
      <c r="A3" s="23"/>
      <c r="B3" s="399" t="s">
        <v>226</v>
      </c>
      <c r="C3" s="400" t="str">
        <f>IF(ISBLANK('Proposal Development Checklist'!B18),"-",EDATE('Bdgt Yr 1'!C3,12))</f>
        <v>-</v>
      </c>
      <c r="D3" s="946"/>
      <c r="E3" s="947"/>
      <c r="F3" s="1037"/>
      <c r="G3" s="1038"/>
      <c r="H3" s="1038"/>
      <c r="I3" s="1040"/>
      <c r="J3" s="1040"/>
      <c r="K3" s="947"/>
      <c r="L3" s="1042"/>
      <c r="M3" s="1028"/>
      <c r="N3" s="1028"/>
      <c r="O3" s="1028"/>
      <c r="P3" s="1029"/>
      <c r="R3" s="404"/>
      <c r="S3" s="404"/>
      <c r="T3" s="404"/>
      <c r="U3" s="404"/>
    </row>
    <row r="4" spans="1:22" ht="15" customHeight="1" thickBot="1">
      <c r="A4" s="23"/>
      <c r="B4" s="401" t="s">
        <v>127</v>
      </c>
      <c r="C4" s="1117" t="str">
        <f>T('Bdgt Yr 1'!C4)</f>
        <v/>
      </c>
      <c r="D4" s="1118"/>
      <c r="E4" s="1118"/>
      <c r="F4" s="1118"/>
      <c r="G4" s="1118"/>
      <c r="H4" s="1118"/>
      <c r="I4" s="1119"/>
      <c r="J4" s="402" t="s">
        <v>128</v>
      </c>
      <c r="K4" s="403">
        <f>'Bdgt Yr 1'!K4+1</f>
        <v>2027</v>
      </c>
      <c r="L4" s="1032" t="s">
        <v>129</v>
      </c>
      <c r="M4" s="1033"/>
      <c r="N4" s="1033"/>
      <c r="O4" s="1033"/>
      <c r="P4" s="1034"/>
      <c r="Q4" s="23"/>
      <c r="V4" s="23"/>
    </row>
    <row r="5" spans="1:22">
      <c r="A5" s="23"/>
      <c r="B5" s="405"/>
      <c r="C5" s="490"/>
      <c r="D5" s="490"/>
      <c r="E5" s="490"/>
      <c r="F5" s="490"/>
      <c r="G5" s="490"/>
      <c r="H5" s="490"/>
      <c r="I5" s="490"/>
      <c r="J5" s="407"/>
      <c r="K5" s="408"/>
      <c r="L5" s="409"/>
      <c r="M5" s="409"/>
      <c r="N5" s="409"/>
      <c r="O5" s="409"/>
      <c r="P5" s="409"/>
      <c r="Q5" s="23"/>
      <c r="V5" s="23"/>
    </row>
    <row r="6" spans="1:22" s="398" customFormat="1" ht="15.75" customHeight="1" thickBot="1">
      <c r="A6" s="23"/>
      <c r="B6" s="985" t="s">
        <v>130</v>
      </c>
      <c r="C6" s="985"/>
      <c r="D6" s="985"/>
      <c r="E6" s="985"/>
      <c r="F6" s="985"/>
      <c r="G6" s="985"/>
      <c r="H6" s="985"/>
      <c r="I6" s="985"/>
      <c r="J6" s="985"/>
      <c r="K6" s="985"/>
      <c r="L6" s="985"/>
      <c r="M6" s="985"/>
      <c r="N6" s="985"/>
      <c r="O6" s="985"/>
      <c r="P6" s="985"/>
      <c r="Q6" s="23"/>
      <c r="R6" s="974"/>
      <c r="S6" s="974"/>
      <c r="T6" s="974"/>
      <c r="U6" s="974"/>
    </row>
    <row r="7" spans="1:22" ht="7.5" customHeight="1">
      <c r="A7" s="23"/>
      <c r="B7" s="960"/>
      <c r="C7" s="960"/>
      <c r="D7" s="960"/>
      <c r="E7" s="960"/>
      <c r="F7" s="960"/>
      <c r="G7" s="960"/>
      <c r="H7" s="960"/>
      <c r="I7" s="960"/>
      <c r="J7" s="960"/>
      <c r="K7" s="960"/>
      <c r="L7" s="960"/>
      <c r="M7" s="960"/>
      <c r="Q7" s="23"/>
      <c r="V7" s="23"/>
    </row>
    <row r="8" spans="1:22" s="398" customFormat="1" ht="15.75" customHeight="1" thickBot="1">
      <c r="A8" s="23"/>
      <c r="B8" s="985" t="s">
        <v>131</v>
      </c>
      <c r="C8" s="985"/>
      <c r="D8" s="985"/>
      <c r="E8" s="985"/>
      <c r="F8" s="985"/>
      <c r="G8" s="985"/>
      <c r="H8" s="985"/>
      <c r="I8" s="985"/>
      <c r="J8" s="985"/>
      <c r="K8" s="985"/>
      <c r="L8" s="985"/>
      <c r="M8" s="985"/>
      <c r="N8" s="985"/>
      <c r="O8" s="985"/>
      <c r="P8" s="985"/>
      <c r="Q8" s="23"/>
      <c r="R8" s="984" t="s">
        <v>132</v>
      </c>
      <c r="S8" s="984"/>
      <c r="T8" s="984"/>
      <c r="U8" s="984"/>
    </row>
    <row r="9" spans="1:22" ht="7.5" customHeight="1" thickBot="1">
      <c r="A9" s="23"/>
      <c r="B9" s="960"/>
      <c r="C9" s="960"/>
      <c r="D9" s="960"/>
      <c r="E9" s="960"/>
      <c r="F9" s="960"/>
      <c r="G9" s="960"/>
      <c r="H9" s="960"/>
      <c r="I9" s="960"/>
      <c r="J9" s="960"/>
      <c r="K9" s="960"/>
      <c r="L9" s="960"/>
      <c r="M9" s="960"/>
      <c r="Q9" s="23"/>
      <c r="V9" s="23"/>
    </row>
    <row r="10" spans="1:22" ht="42.75" customHeight="1">
      <c r="A10" s="23"/>
      <c r="B10" s="988" t="s">
        <v>227</v>
      </c>
      <c r="C10" s="989"/>
      <c r="D10" s="989"/>
      <c r="E10" s="989"/>
      <c r="F10" s="989"/>
      <c r="G10" s="989"/>
      <c r="H10" s="989"/>
      <c r="I10" s="989"/>
      <c r="J10" s="989"/>
      <c r="K10" s="989"/>
      <c r="L10" s="989"/>
      <c r="M10" s="989"/>
      <c r="N10" s="1043" t="s">
        <v>134</v>
      </c>
      <c r="O10" s="1044"/>
      <c r="P10" s="1045"/>
      <c r="Q10" s="410"/>
      <c r="R10" s="975" t="s">
        <v>135</v>
      </c>
      <c r="S10" s="976"/>
      <c r="T10" s="976"/>
      <c r="U10" s="977"/>
      <c r="V10" s="23"/>
    </row>
    <row r="11" spans="1:22" ht="28.5">
      <c r="A11" s="23"/>
      <c r="B11" s="526" t="s">
        <v>136</v>
      </c>
      <c r="C11" s="527" t="s">
        <v>228</v>
      </c>
      <c r="D11" s="527" t="s">
        <v>138</v>
      </c>
      <c r="E11" s="491" t="s">
        <v>159</v>
      </c>
      <c r="F11" s="1046" t="s">
        <v>140</v>
      </c>
      <c r="G11" s="1047"/>
      <c r="H11" s="361" t="s">
        <v>141</v>
      </c>
      <c r="I11" s="412" t="s">
        <v>142</v>
      </c>
      <c r="J11" s="412" t="s">
        <v>143</v>
      </c>
      <c r="K11" s="412" t="s">
        <v>144</v>
      </c>
      <c r="L11" s="412" t="s">
        <v>145</v>
      </c>
      <c r="M11" s="413" t="s">
        <v>146</v>
      </c>
      <c r="N11" s="263" t="s">
        <v>147</v>
      </c>
      <c r="O11" s="239" t="s">
        <v>148</v>
      </c>
      <c r="P11" s="271" t="s">
        <v>149</v>
      </c>
      <c r="Q11" s="23"/>
      <c r="R11" s="414" t="s">
        <v>150</v>
      </c>
      <c r="S11" s="415" t="s">
        <v>151</v>
      </c>
      <c r="T11" s="415" t="s">
        <v>152</v>
      </c>
      <c r="U11" s="416" t="s">
        <v>153</v>
      </c>
      <c r="V11" s="23"/>
    </row>
    <row r="12" spans="1:22">
      <c r="A12" s="23"/>
      <c r="B12" s="492" t="str">
        <f>IF(ISBLANK('Bdgt Yr 1'!B12),"",'Bdgt Yr 1'!B12)</f>
        <v/>
      </c>
      <c r="C12" s="417" t="str">
        <f>IF(ISBLANK('Bdgt Yr 1'!C12),"",'Bdgt Yr 1'!C12)</f>
        <v/>
      </c>
      <c r="D12" s="693" t="str">
        <f>IF(ISBLANK('Bdgt Yr 1'!D12),"",'Bdgt Yr 1'!D12)</f>
        <v/>
      </c>
      <c r="E12" s="493" t="str">
        <f>T('Bdgt Yr 1'!E12)</f>
        <v/>
      </c>
      <c r="F12" s="1115">
        <v>0</v>
      </c>
      <c r="G12" s="1116"/>
      <c r="H12" s="362">
        <f>IF(ISBLANK('Bdgt Yr 1'!B12),0,(F12/'Bdgt Yr 1'!B12))</f>
        <v>0</v>
      </c>
      <c r="I12" s="419">
        <v>0</v>
      </c>
      <c r="J12" s="25">
        <f>'Bdgt Yr 1'!J12*(1+'Budget Summary'!$G$35)</f>
        <v>0</v>
      </c>
      <c r="K12" s="507">
        <f>IF(ISBLANK('Bdgt Yr 1'!B12),0,ROUNDUP((J12*H12)+(J12/'Bdgt Yr 1'!B12)*I12,0))</f>
        <v>0</v>
      </c>
      <c r="L12" s="28" cm="1">
        <f t="array" ref="L12">ROUNDUP(_xlfn.IFS(ISBLANK('Bdgt Yr 1'!B12),0,OR(C12="ORP",K12=0),(J12*H12*Constants!$N$14)+(Constants!$N$15*H12)+(J12/'Bdgt Yr 1'!B12*I12*Constants!$N$14),OR(C12="TSERS",K12=0),(J12*H12*Constants!$N$7)+(Constants!$N$8*H12)+(J12/'Bdgt Yr 1'!B12*I12*Constants!$N$7),OR(C12="Law Enforcement",K12=0),(J12*H12*Constants!$N$28)+(Constants!$N$29*H12)+(J12/'Bdgt Yr 1'!B12*I12*Constants!$N$28)),0)</f>
        <v>0</v>
      </c>
      <c r="M12" s="56">
        <f>(+K12+L12)</f>
        <v>0</v>
      </c>
      <c r="N12" s="240">
        <f>'Cost-Share'!S6</f>
        <v>0</v>
      </c>
      <c r="O12" s="238">
        <f>'Cost-Share'!T6</f>
        <v>0</v>
      </c>
      <c r="P12" s="270">
        <f>'Cost-Share'!U6</f>
        <v>0</v>
      </c>
      <c r="Q12" s="23"/>
      <c r="R12" s="420">
        <f>K12+N12</f>
        <v>0</v>
      </c>
      <c r="S12" s="421">
        <f>L12+O12</f>
        <v>0</v>
      </c>
      <c r="T12" s="421">
        <f>M12+P12</f>
        <v>0</v>
      </c>
      <c r="U12" s="422" t="str">
        <f t="shared" ref="U12:U17" si="0">IFERROR((P12/T12),"-")</f>
        <v>-</v>
      </c>
      <c r="V12" s="23"/>
    </row>
    <row r="13" spans="1:22">
      <c r="A13" s="23"/>
      <c r="B13" s="492" t="str">
        <f>IF(ISBLANK('Bdgt Yr 1'!B13),"",'Bdgt Yr 1'!B13)</f>
        <v/>
      </c>
      <c r="C13" s="417" t="str">
        <f>IF(ISBLANK('Bdgt Yr 1'!C13),"",'Bdgt Yr 1'!C13)</f>
        <v/>
      </c>
      <c r="D13" s="693" t="str">
        <f>IF(ISBLANK('Bdgt Yr 1'!D13),"",'Bdgt Yr 1'!D13)</f>
        <v/>
      </c>
      <c r="E13" s="493" t="str">
        <f>T('Bdgt Yr 1'!E13)</f>
        <v/>
      </c>
      <c r="F13" s="986">
        <v>0</v>
      </c>
      <c r="G13" s="987"/>
      <c r="H13" s="362">
        <f>IF(ISBLANK('Bdgt Yr 1'!B13),0,(F13/'Bdgt Yr 1'!B13))</f>
        <v>0</v>
      </c>
      <c r="I13" s="26">
        <v>0</v>
      </c>
      <c r="J13" s="25">
        <f>'Bdgt Yr 1'!J13*(1+'Budget Summary'!$G$35)</f>
        <v>0</v>
      </c>
      <c r="K13" s="507">
        <f>IF(ISBLANK('Bdgt Yr 1'!B13),0,ROUNDUP((J13*H13)+(J13/'Bdgt Yr 1'!B13)*I13,0))</f>
        <v>0</v>
      </c>
      <c r="L13" s="28" cm="1">
        <f t="array" ref="L13">ROUNDUP(_xlfn.IFS(ISBLANK('Bdgt Yr 1'!B13),0,OR(C13="ORP",K13=0),(J13*H13*Constants!$N$14)+(Constants!$N$15*H13)+(J13/'Bdgt Yr 1'!B13*I13*Constants!$N$14),OR(C13="TSERS",K13=0),(J13*H13*Constants!$N$7)+(Constants!$N$8*H13)+(J13/'Bdgt Yr 1'!B13*I13*Constants!$N$7),OR(C13="Law Enforcement",K13=0),(J13*H13*Constants!$N$28)+(Constants!$N$29*H13)+(J13/'Bdgt Yr 1'!B13*I13*Constants!$N$28)),0)</f>
        <v>0</v>
      </c>
      <c r="M13" s="57">
        <f t="shared" ref="M13:M23" si="1">(+K13+L13)</f>
        <v>0</v>
      </c>
      <c r="N13" s="240">
        <f>'Cost-Share'!S7</f>
        <v>0</v>
      </c>
      <c r="O13" s="238">
        <f>'Cost-Share'!T7</f>
        <v>0</v>
      </c>
      <c r="P13" s="270">
        <f>'Cost-Share'!U7</f>
        <v>0</v>
      </c>
      <c r="Q13" s="23"/>
      <c r="R13" s="420">
        <f t="shared" ref="R13:R23" si="2">K13+N13</f>
        <v>0</v>
      </c>
      <c r="S13" s="421">
        <f t="shared" ref="S13:S23" si="3">L13+O13</f>
        <v>0</v>
      </c>
      <c r="T13" s="421">
        <f t="shared" ref="T13:T23" si="4">M13+P13</f>
        <v>0</v>
      </c>
      <c r="U13" s="422" t="str">
        <f t="shared" si="0"/>
        <v>-</v>
      </c>
      <c r="V13" s="23"/>
    </row>
    <row r="14" spans="1:22">
      <c r="A14" s="23"/>
      <c r="B14" s="492" t="str">
        <f>IF(ISBLANK('Bdgt Yr 1'!B14),"",'Bdgt Yr 1'!B14)</f>
        <v/>
      </c>
      <c r="C14" s="417" t="str">
        <f>IF(ISBLANK('Bdgt Yr 1'!C14),"",'Bdgt Yr 1'!C14)</f>
        <v/>
      </c>
      <c r="D14" s="693" t="str">
        <f>IF(ISBLANK('Bdgt Yr 1'!D14),"",'Bdgt Yr 1'!D14)</f>
        <v/>
      </c>
      <c r="E14" s="493" t="str">
        <f>T('Bdgt Yr 1'!E14)</f>
        <v/>
      </c>
      <c r="F14" s="986">
        <v>0</v>
      </c>
      <c r="G14" s="987"/>
      <c r="H14" s="362">
        <f>IF(ISBLANK('Bdgt Yr 1'!B14),0,(F14/'Bdgt Yr 1'!B14))</f>
        <v>0</v>
      </c>
      <c r="I14" s="419">
        <v>0</v>
      </c>
      <c r="J14" s="25">
        <f>'Bdgt Yr 1'!J14*(1+'Budget Summary'!$G$35)</f>
        <v>0</v>
      </c>
      <c r="K14" s="507">
        <f>IF(ISBLANK('Bdgt Yr 1'!B14),0,ROUNDUP((J14*H14)+(J14/'Bdgt Yr 1'!B14)*I14,0))</f>
        <v>0</v>
      </c>
      <c r="L14" s="28" cm="1">
        <f t="array" ref="L14">ROUNDUP(_xlfn.IFS(ISBLANK('Bdgt Yr 1'!B14),0,OR(C14="ORP",K14=0),(J14*H14*Constants!$N$14)+(Constants!$N$15*H14)+(J14/'Bdgt Yr 1'!B14*I14*Constants!$N$14),OR(C14="TSERS",K14=0),(J14*H14*Constants!$N$7)+(Constants!$N$8*H14)+(J14/'Bdgt Yr 1'!B14*I14*Constants!$N$7),OR(C14="Law Enforcement",K14=0),(J14*H14*Constants!$N$28)+(Constants!$N$29*H14)+(J14/'Bdgt Yr 1'!B14*I14*Constants!$N$28)),0)</f>
        <v>0</v>
      </c>
      <c r="M14" s="57">
        <f t="shared" si="1"/>
        <v>0</v>
      </c>
      <c r="N14" s="240">
        <f>'Cost-Share'!S8</f>
        <v>0</v>
      </c>
      <c r="O14" s="238">
        <f>'Cost-Share'!T8</f>
        <v>0</v>
      </c>
      <c r="P14" s="270">
        <f>'Cost-Share'!U8</f>
        <v>0</v>
      </c>
      <c r="Q14" s="23"/>
      <c r="R14" s="420">
        <f t="shared" si="2"/>
        <v>0</v>
      </c>
      <c r="S14" s="421">
        <f t="shared" si="3"/>
        <v>0</v>
      </c>
      <c r="T14" s="421">
        <f t="shared" si="4"/>
        <v>0</v>
      </c>
      <c r="U14" s="422" t="str">
        <f t="shared" si="0"/>
        <v>-</v>
      </c>
      <c r="V14" s="23"/>
    </row>
    <row r="15" spans="1:22">
      <c r="A15" s="23"/>
      <c r="B15" s="492" t="str">
        <f>IF(ISBLANK('Bdgt Yr 1'!B15),"",'Bdgt Yr 1'!B15)</f>
        <v/>
      </c>
      <c r="C15" s="417" t="str">
        <f>IF(ISBLANK('Bdgt Yr 1'!C15),"",'Bdgt Yr 1'!C15)</f>
        <v/>
      </c>
      <c r="D15" s="693" t="str">
        <f>IF(ISBLANK('Bdgt Yr 1'!D15),"",'Bdgt Yr 1'!D15)</f>
        <v/>
      </c>
      <c r="E15" s="493" t="str">
        <f>T('Bdgt Yr 1'!E15)</f>
        <v/>
      </c>
      <c r="F15" s="986">
        <v>0</v>
      </c>
      <c r="G15" s="987"/>
      <c r="H15" s="362">
        <f>IF(ISBLANK('Bdgt Yr 1'!B15),0,(F15/'Bdgt Yr 1'!B15))</f>
        <v>0</v>
      </c>
      <c r="I15" s="26">
        <v>0</v>
      </c>
      <c r="J15" s="25">
        <f>'Bdgt Yr 1'!J15*(1+'Budget Summary'!$G$35)</f>
        <v>0</v>
      </c>
      <c r="K15" s="507">
        <f>IF(ISBLANK('Bdgt Yr 1'!B15),0,ROUNDUP((J15*H15)+(J15/'Bdgt Yr 1'!B15)*I15,0))</f>
        <v>0</v>
      </c>
      <c r="L15" s="28" cm="1">
        <f t="array" ref="L15">ROUNDUP(_xlfn.IFS(ISBLANK('Bdgt Yr 1'!B15),0,OR(C15="ORP",K15=0),(J15*H15*Constants!$N$14)+(Constants!$N$15*H15)+(J15/'Bdgt Yr 1'!B15*I15*Constants!$N$14),OR(C15="TSERS",K15=0),(J15*H15*Constants!$N$7)+(Constants!$N$8*H15)+(J15/'Bdgt Yr 1'!B15*I15*Constants!$N$7),OR(C15="Law Enforcement",K15=0),(J15*H15*Constants!$N$28)+(Constants!$N$29*H15)+(J15/'Bdgt Yr 1'!B15*I15*Constants!$N$28)),0)</f>
        <v>0</v>
      </c>
      <c r="M15" s="57">
        <f t="shared" si="1"/>
        <v>0</v>
      </c>
      <c r="N15" s="240">
        <f>'Cost-Share'!S9</f>
        <v>0</v>
      </c>
      <c r="O15" s="238">
        <f>'Cost-Share'!T9</f>
        <v>0</v>
      </c>
      <c r="P15" s="270">
        <f>'Cost-Share'!U9</f>
        <v>0</v>
      </c>
      <c r="Q15" s="23"/>
      <c r="R15" s="420">
        <f t="shared" si="2"/>
        <v>0</v>
      </c>
      <c r="S15" s="421">
        <f t="shared" si="3"/>
        <v>0</v>
      </c>
      <c r="T15" s="421">
        <f t="shared" si="4"/>
        <v>0</v>
      </c>
      <c r="U15" s="422" t="str">
        <f t="shared" si="0"/>
        <v>-</v>
      </c>
      <c r="V15" s="23"/>
    </row>
    <row r="16" spans="1:22">
      <c r="A16" s="23"/>
      <c r="B16" s="492" t="str">
        <f>IF(ISBLANK('Bdgt Yr 1'!B16),"",'Bdgt Yr 1'!B16)</f>
        <v/>
      </c>
      <c r="C16" s="417" t="str">
        <f>IF(ISBLANK('Bdgt Yr 1'!C16),"",'Bdgt Yr 1'!C16)</f>
        <v/>
      </c>
      <c r="D16" s="693" t="str">
        <f>IF(ISBLANK('Bdgt Yr 1'!D16),"",'Bdgt Yr 1'!D16)</f>
        <v/>
      </c>
      <c r="E16" s="493" t="str">
        <f>T('Bdgt Yr 1'!E16)</f>
        <v/>
      </c>
      <c r="F16" s="986">
        <v>0</v>
      </c>
      <c r="G16" s="987"/>
      <c r="H16" s="362">
        <f>IF(ISBLANK('Bdgt Yr 1'!B16),0,(F16/'Bdgt Yr 1'!B16))</f>
        <v>0</v>
      </c>
      <c r="I16" s="425">
        <v>0</v>
      </c>
      <c r="J16" s="25">
        <f>'Bdgt Yr 1'!J16*(1+'Budget Summary'!$G$35)</f>
        <v>0</v>
      </c>
      <c r="K16" s="507">
        <f>IF(ISBLANK('Bdgt Yr 1'!B16),0,ROUNDUP((J16*H16)+(J16/'Bdgt Yr 1'!B16)*I16,0))</f>
        <v>0</v>
      </c>
      <c r="L16" s="28" cm="1">
        <f t="array" ref="L16">ROUNDUP(_xlfn.IFS(ISBLANK('Bdgt Yr 1'!B16),0,OR(C16="ORP",K16=0),(J16*H16*Constants!$N$14)+(Constants!$N$15*H16)+(J16/'Bdgt Yr 1'!B16*I16*Constants!$N$14),OR(C16="TSERS",K16=0),(J16*H16*Constants!$N$7)+(Constants!$N$8*H16)+(J16/'Bdgt Yr 1'!B16*I16*Constants!$N$7),OR(C16="Law Enforcement",K16=0),(J16*H16*Constants!$N$28)+(Constants!$N$29*H16)+(J16/'Bdgt Yr 1'!B16*I16*Constants!$N$28)),0)</f>
        <v>0</v>
      </c>
      <c r="M16" s="57">
        <f t="shared" si="1"/>
        <v>0</v>
      </c>
      <c r="N16" s="240">
        <f>'Cost-Share'!S10</f>
        <v>0</v>
      </c>
      <c r="O16" s="238">
        <f>'Cost-Share'!T10</f>
        <v>0</v>
      </c>
      <c r="P16" s="270">
        <f>'Cost-Share'!U10</f>
        <v>0</v>
      </c>
      <c r="Q16" s="23"/>
      <c r="R16" s="420">
        <f t="shared" si="2"/>
        <v>0</v>
      </c>
      <c r="S16" s="421">
        <f t="shared" si="3"/>
        <v>0</v>
      </c>
      <c r="T16" s="421">
        <f t="shared" si="4"/>
        <v>0</v>
      </c>
      <c r="U16" s="422" t="str">
        <f t="shared" si="0"/>
        <v>-</v>
      </c>
      <c r="V16" s="23"/>
    </row>
    <row r="17" spans="1:22" s="23" customFormat="1">
      <c r="B17" s="492" t="str">
        <f>IF(ISBLANK('Bdgt Yr 1'!B17),"",'Bdgt Yr 1'!B17)</f>
        <v/>
      </c>
      <c r="C17" s="417" t="str">
        <f>IF(ISBLANK('Bdgt Yr 1'!C17),"",'Bdgt Yr 1'!C17)</f>
        <v/>
      </c>
      <c r="D17" s="693" t="str">
        <f>IF(ISBLANK('Bdgt Yr 1'!D17),"",'Bdgt Yr 1'!D17)</f>
        <v/>
      </c>
      <c r="E17" s="493" t="str">
        <f>T('Bdgt Yr 1'!E17)</f>
        <v/>
      </c>
      <c r="F17" s="986">
        <v>0</v>
      </c>
      <c r="G17" s="987"/>
      <c r="H17" s="362">
        <f>IF(ISBLANK('Bdgt Yr 1'!B17),0,(F17/'Bdgt Yr 1'!B17))</f>
        <v>0</v>
      </c>
      <c r="I17" s="425">
        <v>0</v>
      </c>
      <c r="J17" s="25">
        <f>'Bdgt Yr 1'!J17*(1+'Budget Summary'!$G$35)</f>
        <v>0</v>
      </c>
      <c r="K17" s="507">
        <f>IF(ISBLANK('Bdgt Yr 1'!B17),0,ROUNDUP((J17*H17)+(J17/'Bdgt Yr 1'!B17)*I17,0))</f>
        <v>0</v>
      </c>
      <c r="L17" s="28" cm="1">
        <f t="array" ref="L17">ROUNDUP(_xlfn.IFS(ISBLANK('Bdgt Yr 1'!B17),0,OR(C17="ORP",K17=0),(J17*H17*Constants!$N$14)+(Constants!$N$15*H17)+(J17/'Bdgt Yr 1'!B17*I17*Constants!$N$14),OR(C17="TSERS",K17=0),(J17*H17*Constants!$N$7)+(Constants!$N$8*H17)+(J17/'Bdgt Yr 1'!B17*I17*Constants!$N$7),OR(C17="Law Enforcement",K17=0),(J17*H17*Constants!$N$28)+(Constants!$N$29*H17)+(J17/'Bdgt Yr 1'!B17*I17*Constants!$N$28)),0)</f>
        <v>0</v>
      </c>
      <c r="M17" s="57">
        <f t="shared" si="1"/>
        <v>0</v>
      </c>
      <c r="N17" s="240">
        <f>'Cost-Share'!S11</f>
        <v>0</v>
      </c>
      <c r="O17" s="238">
        <f>'Cost-Share'!T11</f>
        <v>0</v>
      </c>
      <c r="P17" s="270">
        <f>'Cost-Share'!U11</f>
        <v>0</v>
      </c>
      <c r="R17" s="420">
        <f t="shared" si="2"/>
        <v>0</v>
      </c>
      <c r="S17" s="421">
        <f t="shared" si="3"/>
        <v>0</v>
      </c>
      <c r="T17" s="421">
        <f t="shared" si="4"/>
        <v>0</v>
      </c>
      <c r="U17" s="422" t="str">
        <f t="shared" si="0"/>
        <v>-</v>
      </c>
    </row>
    <row r="18" spans="1:22">
      <c r="A18" s="23"/>
      <c r="B18" s="492" t="str">
        <f>IF(ISBLANK('Bdgt Yr 1'!B18),"",'Bdgt Yr 1'!B18)</f>
        <v/>
      </c>
      <c r="C18" s="417" t="str">
        <f>IF(ISBLANK('Bdgt Yr 1'!C18),"",'Bdgt Yr 1'!C18)</f>
        <v/>
      </c>
      <c r="D18" s="693" t="str">
        <f>IF(ISBLANK('Bdgt Yr 1'!D18),"",'Bdgt Yr 1'!D18)</f>
        <v/>
      </c>
      <c r="E18" s="493" t="str">
        <f>T('Bdgt Yr 1'!E18)</f>
        <v/>
      </c>
      <c r="F18" s="986">
        <v>0</v>
      </c>
      <c r="G18" s="987"/>
      <c r="H18" s="362">
        <f>IF(ISBLANK('Bdgt Yr 1'!B18),0,(F18/'Bdgt Yr 1'!B18))</f>
        <v>0</v>
      </c>
      <c r="I18" s="425">
        <v>0</v>
      </c>
      <c r="J18" s="25">
        <f>'Bdgt Yr 1'!J18*(1+'Budget Summary'!$G$35)</f>
        <v>0</v>
      </c>
      <c r="K18" s="507">
        <f>IF(ISBLANK('Bdgt Yr 1'!B18),0,ROUNDUP((J18*H18)+(J18/'Bdgt Yr 1'!B18)*I18,0))</f>
        <v>0</v>
      </c>
      <c r="L18" s="28" cm="1">
        <f t="array" ref="L18">ROUNDUP(_xlfn.IFS(ISBLANK('Bdgt Yr 1'!B18),0,OR(C18="ORP",K18=0),(J18*H18*Constants!$N$14)+(Constants!$N$15*H18)+(J18/'Bdgt Yr 1'!B18*I18*Constants!$N$14),OR(C18="TSERS",K18=0),(J18*H18*Constants!$N$7)+(Constants!$N$8*H18)+(J18/'Bdgt Yr 1'!B18*I18*Constants!$N$7),OR(C18="Law Enforcement",K18=0),(J18*H18*Constants!$N$28)+(Constants!$N$29*H18)+(J18/'Bdgt Yr 1'!B18*I18*Constants!$N$28)),0)</f>
        <v>0</v>
      </c>
      <c r="M18" s="57">
        <f t="shared" si="1"/>
        <v>0</v>
      </c>
      <c r="N18" s="240">
        <f>'Cost-Share'!S12</f>
        <v>0</v>
      </c>
      <c r="O18" s="238">
        <f>'Cost-Share'!T12</f>
        <v>0</v>
      </c>
      <c r="P18" s="270">
        <f>'Cost-Share'!U12</f>
        <v>0</v>
      </c>
      <c r="Q18" s="494"/>
      <c r="R18" s="420">
        <f t="shared" si="2"/>
        <v>0</v>
      </c>
      <c r="S18" s="421">
        <f t="shared" si="3"/>
        <v>0</v>
      </c>
      <c r="T18" s="421">
        <f t="shared" si="4"/>
        <v>0</v>
      </c>
      <c r="U18" s="422" t="str">
        <f t="shared" ref="U18:U22" si="5">IFERROR((P20/T18),"-")</f>
        <v>-</v>
      </c>
      <c r="V18" s="23"/>
    </row>
    <row r="19" spans="1:22" s="23" customFormat="1">
      <c r="B19" s="492" t="str">
        <f>IF(ISBLANK('Bdgt Yr 1'!B19),"",'Bdgt Yr 1'!B19)</f>
        <v/>
      </c>
      <c r="C19" s="417" t="str">
        <f>IF(ISBLANK('Bdgt Yr 1'!C19),"",'Bdgt Yr 1'!C19)</f>
        <v/>
      </c>
      <c r="D19" s="693" t="str">
        <f>IF(ISBLANK('Bdgt Yr 1'!D19),"",'Bdgt Yr 1'!D19)</f>
        <v/>
      </c>
      <c r="E19" s="493" t="str">
        <f>T('Bdgt Yr 1'!E19)</f>
        <v/>
      </c>
      <c r="F19" s="986">
        <v>0</v>
      </c>
      <c r="G19" s="987"/>
      <c r="H19" s="362">
        <f>IF(ISBLANK('Bdgt Yr 1'!B19),0,(F19/'Bdgt Yr 1'!B19))</f>
        <v>0</v>
      </c>
      <c r="I19" s="26">
        <v>0</v>
      </c>
      <c r="J19" s="25">
        <f>'Bdgt Yr 1'!J19*(1+'Budget Summary'!$G$35)</f>
        <v>0</v>
      </c>
      <c r="K19" s="507">
        <f>IF(ISBLANK('Bdgt Yr 1'!B19),0,ROUNDUP((J19*H19)+(J19/'Bdgt Yr 1'!B19)*I19,0))</f>
        <v>0</v>
      </c>
      <c r="L19" s="28" cm="1">
        <f t="array" ref="L19">ROUNDUP(_xlfn.IFS(ISBLANK('Bdgt Yr 1'!B19),0,OR(C19="ORP",K19=0),(J19*H19*Constants!$N$14)+(Constants!$N$15*H19)+(J19/'Bdgt Yr 1'!B19*I19*Constants!$N$14),OR(C19="TSERS",K19=0),(J19*H19*Constants!$N$7)+(Constants!$N$8*H19)+(J19/'Bdgt Yr 1'!B19*I19*Constants!$N$7),OR(C19="Law Enforcement",K19=0),(J19*H19*Constants!$N$28)+(Constants!$N$29*H19)+(J19/'Bdgt Yr 1'!B19*I19*Constants!$N$28)),0)</f>
        <v>0</v>
      </c>
      <c r="M19" s="57">
        <f t="shared" si="1"/>
        <v>0</v>
      </c>
      <c r="N19" s="240">
        <f>'Cost-Share'!S13</f>
        <v>0</v>
      </c>
      <c r="O19" s="238">
        <f>'Cost-Share'!T13</f>
        <v>0</v>
      </c>
      <c r="P19" s="270">
        <f>'Cost-Share'!U13</f>
        <v>0</v>
      </c>
      <c r="R19" s="420">
        <f t="shared" si="2"/>
        <v>0</v>
      </c>
      <c r="S19" s="421">
        <f t="shared" si="3"/>
        <v>0</v>
      </c>
      <c r="T19" s="421">
        <f t="shared" si="4"/>
        <v>0</v>
      </c>
      <c r="U19" s="422" t="str">
        <f t="shared" si="5"/>
        <v>-</v>
      </c>
    </row>
    <row r="20" spans="1:22" s="23" customFormat="1">
      <c r="B20" s="492" t="str">
        <f>IF(ISBLANK('Bdgt Yr 1'!B20),"",'Bdgt Yr 1'!B20)</f>
        <v/>
      </c>
      <c r="C20" s="417" t="str">
        <f>IF(ISBLANK('Bdgt Yr 1'!C20),"",'Bdgt Yr 1'!C20)</f>
        <v/>
      </c>
      <c r="D20" s="693" t="str">
        <f>IF(ISBLANK('Bdgt Yr 1'!D20),"",'Bdgt Yr 1'!D20)</f>
        <v/>
      </c>
      <c r="E20" s="493" t="str">
        <f>T('Bdgt Yr 1'!E20)</f>
        <v/>
      </c>
      <c r="F20" s="986">
        <v>0</v>
      </c>
      <c r="G20" s="987"/>
      <c r="H20" s="362">
        <f>IF(ISBLANK('Bdgt Yr 1'!B20),0,(F20/'Bdgt Yr 1'!B20))</f>
        <v>0</v>
      </c>
      <c r="I20" s="427">
        <v>0</v>
      </c>
      <c r="J20" s="25">
        <f>'Bdgt Yr 1'!J20*(1+'Budget Summary'!$G$35)</f>
        <v>0</v>
      </c>
      <c r="K20" s="507">
        <f>IF(ISBLANK('Bdgt Yr 1'!B20),0,ROUNDUP((J20*H20)+(J20/'Bdgt Yr 1'!B20)*I20,0))</f>
        <v>0</v>
      </c>
      <c r="L20" s="28" cm="1">
        <f t="array" ref="L20">ROUNDUP(_xlfn.IFS(ISBLANK('Bdgt Yr 1'!B20),0,OR(C20="ORP",K20=0),(J20*H20*Constants!$N$14)+(Constants!$N$15*H20)+(J20/'Bdgt Yr 1'!B20*I20*Constants!$N$14),OR(C20="TSERS",K20=0),(J20*H20*Constants!$N$7)+(Constants!$N$8*H20)+(J20/'Bdgt Yr 1'!B20*I20*Constants!$N$7),OR(C20="Law Enforcement",K20=0),(J20*H20*Constants!$N$28)+(Constants!$N$29*H20)+(J20/'Bdgt Yr 1'!B20*I20*Constants!$N$28)),0)</f>
        <v>0</v>
      </c>
      <c r="M20" s="57">
        <f t="shared" si="1"/>
        <v>0</v>
      </c>
      <c r="N20" s="240">
        <f>'Cost-Share'!S14</f>
        <v>0</v>
      </c>
      <c r="O20" s="238">
        <f>'Cost-Share'!T14</f>
        <v>0</v>
      </c>
      <c r="P20" s="270">
        <f>'Cost-Share'!U14</f>
        <v>0</v>
      </c>
      <c r="R20" s="420">
        <f t="shared" si="2"/>
        <v>0</v>
      </c>
      <c r="S20" s="421">
        <f t="shared" si="3"/>
        <v>0</v>
      </c>
      <c r="T20" s="421">
        <f t="shared" si="4"/>
        <v>0</v>
      </c>
      <c r="U20" s="422" t="str">
        <f t="shared" si="5"/>
        <v>-</v>
      </c>
    </row>
    <row r="21" spans="1:22" s="23" customFormat="1" ht="15.75" customHeight="1">
      <c r="B21" s="492" t="str">
        <f>IF(ISBLANK('Bdgt Yr 1'!B21),"",'Bdgt Yr 1'!B21)</f>
        <v/>
      </c>
      <c r="C21" s="417" t="str">
        <f>IF(ISBLANK('Bdgt Yr 1'!C21),"",'Bdgt Yr 1'!C21)</f>
        <v/>
      </c>
      <c r="D21" s="693" t="str">
        <f>IF(ISBLANK('Bdgt Yr 1'!D21),"",'Bdgt Yr 1'!D21)</f>
        <v/>
      </c>
      <c r="E21" s="493" t="str">
        <f>T('Bdgt Yr 1'!E21)</f>
        <v/>
      </c>
      <c r="F21" s="992">
        <v>0</v>
      </c>
      <c r="G21" s="993"/>
      <c r="H21" s="362">
        <f>IF(ISBLANK('Bdgt Yr 1'!B21),0,(F21/'Bdgt Yr 1'!B21))</f>
        <v>0</v>
      </c>
      <c r="I21" s="428">
        <v>0</v>
      </c>
      <c r="J21" s="25">
        <f>'Bdgt Yr 1'!J21*(1+'Budget Summary'!$G$35)</f>
        <v>0</v>
      </c>
      <c r="K21" s="507">
        <f>IF(ISBLANK('Bdgt Yr 1'!B21),0,ROUNDUP((J21*H21)+(J21/'Bdgt Yr 1'!B21)*I21,0))</f>
        <v>0</v>
      </c>
      <c r="L21" s="28" cm="1">
        <f t="array" ref="L21">ROUNDUP(_xlfn.IFS(ISBLANK('Bdgt Yr 1'!B21),0,OR(C21="ORP",K21=0),(J21*H21*Constants!$N$14)+(Constants!$N$15*H21)+(J21/'Bdgt Yr 1'!B21*I21*Constants!$N$14),OR(C21="TSERS",K21=0),(J21*H21*Constants!$N$7)+(Constants!$N$8*H21)+(J21/'Bdgt Yr 1'!B21*I21*Constants!$N$7),OR(C21="Law Enforcement",K21=0),(J21*H21*Constants!$N$28)+(Constants!$N$29*H21)+(J21/'Bdgt Yr 1'!B21*I21*Constants!$N$28)),0)</f>
        <v>0</v>
      </c>
      <c r="M21" s="57">
        <f t="shared" si="1"/>
        <v>0</v>
      </c>
      <c r="N21" s="240">
        <f>'Cost-Share'!S15</f>
        <v>0</v>
      </c>
      <c r="O21" s="238">
        <f>'Cost-Share'!T15</f>
        <v>0</v>
      </c>
      <c r="P21" s="270">
        <f>'Cost-Share'!U15</f>
        <v>0</v>
      </c>
      <c r="R21" s="420">
        <f t="shared" si="2"/>
        <v>0</v>
      </c>
      <c r="S21" s="421">
        <f t="shared" si="3"/>
        <v>0</v>
      </c>
      <c r="T21" s="421">
        <f t="shared" si="4"/>
        <v>0</v>
      </c>
      <c r="U21" s="422" t="str">
        <f t="shared" si="5"/>
        <v>-</v>
      </c>
    </row>
    <row r="22" spans="1:22" s="23" customFormat="1" ht="15" customHeight="1">
      <c r="B22" s="492" t="str">
        <f>IF(ISBLANK('Bdgt Yr 1'!B22),"",'Bdgt Yr 1'!B22)</f>
        <v/>
      </c>
      <c r="C22" s="417" t="str">
        <f>IF(ISBLANK('Bdgt Yr 1'!C22),"",'Bdgt Yr 1'!C22)</f>
        <v/>
      </c>
      <c r="D22" s="693" t="str">
        <f>IF(ISBLANK('Bdgt Yr 1'!D22),"",'Bdgt Yr 1'!D22)</f>
        <v/>
      </c>
      <c r="E22" s="493" t="str">
        <f>T('Bdgt Yr 1'!E22)</f>
        <v xml:space="preserve"> </v>
      </c>
      <c r="F22" s="992">
        <v>0</v>
      </c>
      <c r="G22" s="993"/>
      <c r="H22" s="362">
        <f>IF(ISBLANK('Bdgt Yr 1'!B22),0,(F22/'Bdgt Yr 1'!B22))</f>
        <v>0</v>
      </c>
      <c r="I22" s="429">
        <v>0</v>
      </c>
      <c r="J22" s="25">
        <f>'Bdgt Yr 1'!J22*(1+'Budget Summary'!$G$35)</f>
        <v>0</v>
      </c>
      <c r="K22" s="507">
        <f>IF(ISBLANK('Bdgt Yr 1'!B22),0,ROUNDUP((J22*H22)+(J22/'Bdgt Yr 1'!B22)*I22,0))</f>
        <v>0</v>
      </c>
      <c r="L22" s="28" cm="1">
        <f t="array" ref="L22">ROUNDUP(_xlfn.IFS(ISBLANK('Bdgt Yr 1'!B22),0,OR(C22="ORP",K22=0),(J22*H22*Constants!$N$14)+(Constants!$N$15*H22)+(J22/'Bdgt Yr 1'!B22*I22*Constants!$N$14),OR(C22="TSERS",K22=0),(J22*H22*Constants!$N$7)+(Constants!$N$8*H22)+(J22/'Bdgt Yr 1'!B22*I22*Constants!$N$7),OR(C22="Law Enforcement",K22=0),(J22*H22*Constants!$N$28)+(Constants!$N$29*H22)+(J22/'Bdgt Yr 1'!B22*I22*Constants!$N$28)),0)</f>
        <v>0</v>
      </c>
      <c r="M22" s="57">
        <f t="shared" si="1"/>
        <v>0</v>
      </c>
      <c r="N22" s="240">
        <f>'Cost-Share'!S16</f>
        <v>0</v>
      </c>
      <c r="O22" s="238">
        <f>'Cost-Share'!T16</f>
        <v>0</v>
      </c>
      <c r="P22" s="270">
        <f>'Cost-Share'!U16</f>
        <v>0</v>
      </c>
      <c r="R22" s="420">
        <f t="shared" si="2"/>
        <v>0</v>
      </c>
      <c r="S22" s="421">
        <f t="shared" si="3"/>
        <v>0</v>
      </c>
      <c r="T22" s="421">
        <f t="shared" si="4"/>
        <v>0</v>
      </c>
      <c r="U22" s="422" t="str">
        <f t="shared" si="5"/>
        <v>-</v>
      </c>
    </row>
    <row r="23" spans="1:22" s="23" customFormat="1" ht="15" thickBot="1">
      <c r="B23" s="492" t="str">
        <f>IF(ISBLANK('Bdgt Yr 1'!B23),"",'Bdgt Yr 1'!B23)</f>
        <v/>
      </c>
      <c r="C23" s="417" t="str">
        <f>IF(ISBLANK('Bdgt Yr 1'!C23),"",'Bdgt Yr 1'!C23)</f>
        <v/>
      </c>
      <c r="D23" s="693" t="str">
        <f>IF(ISBLANK('Bdgt Yr 1'!D23),"",'Bdgt Yr 1'!D23)</f>
        <v/>
      </c>
      <c r="E23" s="493" t="str">
        <f>T('Bdgt Yr 1'!E23)</f>
        <v/>
      </c>
      <c r="F23" s="994">
        <v>0</v>
      </c>
      <c r="G23" s="995"/>
      <c r="H23" s="362">
        <f>IF(ISBLANK('Bdgt Yr 1'!B23),0,(F23/'Bdgt Yr 1'!B23))</f>
        <v>0</v>
      </c>
      <c r="I23" s="432">
        <v>0</v>
      </c>
      <c r="J23" s="25">
        <f>'Bdgt Yr 1'!J23*(1+'Budget Summary'!$G$35)</f>
        <v>0</v>
      </c>
      <c r="K23" s="507">
        <f>IF(ISBLANK('Bdgt Yr 1'!B23),0,ROUNDUP((J23*H23)+(J23/'Bdgt Yr 1'!B23)*I23,0))</f>
        <v>0</v>
      </c>
      <c r="L23" s="28" cm="1">
        <f t="array" ref="L23">ROUNDUP(_xlfn.IFS(ISBLANK('Bdgt Yr 1'!B23),0,OR(C23="ORP",K23=0),(J23*H23*Constants!$N$14)+(Constants!$N$15*H23)+(J23/'Bdgt Yr 1'!B23*I23*Constants!$N$14),OR(C23="TSERS",K23=0),(J23*H23*Constants!$N$7)+(Constants!$N$8*H23)+(J23/'Bdgt Yr 1'!B23*I23*Constants!$N$7),OR(C23="Law Enforcement",K23=0),(J23*H23*Constants!$N$28)+(Constants!$N$29*H23)+(J23/'Bdgt Yr 1'!B23*I23*Constants!$N$28)),0)</f>
        <v>0</v>
      </c>
      <c r="M23" s="58">
        <f t="shared" si="1"/>
        <v>0</v>
      </c>
      <c r="N23" s="240">
        <f>'Cost-Share'!S17</f>
        <v>0</v>
      </c>
      <c r="O23" s="238">
        <f>'Cost-Share'!T17</f>
        <v>0</v>
      </c>
      <c r="P23" s="270">
        <f>'Cost-Share'!U17</f>
        <v>0</v>
      </c>
      <c r="R23" s="420">
        <f t="shared" si="2"/>
        <v>0</v>
      </c>
      <c r="S23" s="421">
        <f t="shared" si="3"/>
        <v>0</v>
      </c>
      <c r="T23" s="421">
        <f t="shared" si="4"/>
        <v>0</v>
      </c>
      <c r="U23" s="422" t="str">
        <f>IFERROR((#REF!/T23),"-")</f>
        <v>-</v>
      </c>
    </row>
    <row r="24" spans="1:22" ht="15" thickBot="1">
      <c r="A24" s="23"/>
      <c r="B24" s="990" t="s">
        <v>155</v>
      </c>
      <c r="C24" s="991"/>
      <c r="D24" s="991"/>
      <c r="E24" s="991"/>
      <c r="F24" s="991"/>
      <c r="G24" s="991"/>
      <c r="H24" s="991"/>
      <c r="I24" s="991"/>
      <c r="J24" s="991"/>
      <c r="K24" s="276">
        <f t="shared" ref="K24:P24" si="6">SUM(K12:K23)</f>
        <v>0</v>
      </c>
      <c r="L24" s="277">
        <f t="shared" si="6"/>
        <v>0</v>
      </c>
      <c r="M24" s="278">
        <f t="shared" si="6"/>
        <v>0</v>
      </c>
      <c r="N24" s="272">
        <f t="shared" si="6"/>
        <v>0</v>
      </c>
      <c r="O24" s="273">
        <f t="shared" si="6"/>
        <v>0</v>
      </c>
      <c r="P24" s="274">
        <f t="shared" si="6"/>
        <v>0</v>
      </c>
      <c r="Q24" s="23"/>
      <c r="R24" s="434">
        <f>SUM(R12:R23)</f>
        <v>0</v>
      </c>
      <c r="S24" s="435">
        <f>SUM(S12:S23)</f>
        <v>0</v>
      </c>
      <c r="T24" s="435">
        <f>SUM(T12:T23)</f>
        <v>0</v>
      </c>
      <c r="U24" s="436"/>
      <c r="V24" s="23"/>
    </row>
    <row r="25" spans="1:22" ht="7.5" customHeight="1">
      <c r="A25" s="23"/>
      <c r="B25" s="960"/>
      <c r="C25" s="960"/>
      <c r="D25" s="960"/>
      <c r="E25" s="960"/>
      <c r="F25" s="960"/>
      <c r="G25" s="960"/>
      <c r="H25" s="960"/>
      <c r="I25" s="960"/>
      <c r="J25" s="960"/>
      <c r="K25" s="960"/>
      <c r="L25" s="960"/>
      <c r="M25" s="960"/>
      <c r="Q25" s="23"/>
      <c r="V25" s="23"/>
    </row>
    <row r="26" spans="1:22" s="398" customFormat="1" ht="15.75" customHeight="1" thickBot="1">
      <c r="B26" s="985" t="s">
        <v>156</v>
      </c>
      <c r="C26" s="985"/>
      <c r="D26" s="985"/>
      <c r="E26" s="985"/>
      <c r="F26" s="985"/>
      <c r="G26" s="985"/>
      <c r="H26" s="985"/>
      <c r="I26" s="985"/>
      <c r="J26" s="985"/>
      <c r="K26" s="985"/>
      <c r="L26" s="985"/>
      <c r="M26" s="985"/>
      <c r="N26" s="985"/>
      <c r="O26" s="985"/>
      <c r="P26" s="985"/>
      <c r="Q26" s="23"/>
      <c r="R26" s="974"/>
      <c r="S26" s="974"/>
      <c r="T26" s="974"/>
      <c r="U26" s="974"/>
    </row>
    <row r="27" spans="1:22" ht="7.5" customHeight="1">
      <c r="A27" s="23"/>
      <c r="B27" s="960"/>
      <c r="C27" s="960"/>
      <c r="D27" s="960"/>
      <c r="E27" s="960"/>
      <c r="F27" s="960"/>
      <c r="G27" s="960"/>
      <c r="H27" s="960"/>
      <c r="I27" s="960"/>
      <c r="J27" s="960"/>
      <c r="K27" s="960"/>
      <c r="L27" s="960"/>
      <c r="M27" s="960"/>
      <c r="Q27" s="23"/>
      <c r="V27" s="23"/>
    </row>
    <row r="28" spans="1:22" ht="28.5" customHeight="1">
      <c r="A28" s="23"/>
      <c r="B28" s="988" t="s">
        <v>157</v>
      </c>
      <c r="C28" s="989"/>
      <c r="D28" s="989"/>
      <c r="E28" s="989"/>
      <c r="F28" s="989"/>
      <c r="G28" s="989"/>
      <c r="H28" s="989"/>
      <c r="I28" s="989"/>
      <c r="J28" s="989"/>
      <c r="K28" s="989"/>
      <c r="L28" s="989"/>
      <c r="M28" s="1089"/>
      <c r="N28" s="1043" t="s">
        <v>134</v>
      </c>
      <c r="O28" s="1044"/>
      <c r="P28" s="1045"/>
      <c r="Q28" s="410"/>
      <c r="R28" s="975" t="s">
        <v>135</v>
      </c>
      <c r="S28" s="976"/>
      <c r="T28" s="976"/>
      <c r="U28" s="977"/>
      <c r="V28" s="23"/>
    </row>
    <row r="29" spans="1:22" ht="29.25" customHeight="1">
      <c r="A29" s="23"/>
      <c r="B29" s="980" t="s">
        <v>158</v>
      </c>
      <c r="C29" s="981"/>
      <c r="D29" s="1519" t="s">
        <v>159</v>
      </c>
      <c r="E29" s="1520"/>
      <c r="F29" s="1520"/>
      <c r="G29" s="1521"/>
      <c r="H29" s="229" t="s">
        <v>140</v>
      </c>
      <c r="I29" s="437" t="s">
        <v>160</v>
      </c>
      <c r="J29" s="438" t="s">
        <v>143</v>
      </c>
      <c r="K29" s="439" t="s">
        <v>161</v>
      </c>
      <c r="L29" s="439" t="s">
        <v>145</v>
      </c>
      <c r="M29" s="530" t="s">
        <v>146</v>
      </c>
      <c r="N29" s="263" t="s">
        <v>147</v>
      </c>
      <c r="O29" s="239" t="s">
        <v>148</v>
      </c>
      <c r="P29" s="271" t="s">
        <v>149</v>
      </c>
      <c r="Q29" s="23"/>
      <c r="R29" s="414" t="s">
        <v>150</v>
      </c>
      <c r="S29" s="415" t="s">
        <v>151</v>
      </c>
      <c r="T29" s="415" t="s">
        <v>152</v>
      </c>
      <c r="U29" s="441" t="s">
        <v>153</v>
      </c>
      <c r="V29" s="23"/>
    </row>
    <row r="30" spans="1:22" ht="15" customHeight="1">
      <c r="A30" s="23"/>
      <c r="B30" s="982" t="str">
        <f>'Bdgt Yr 1'!B30</f>
        <v>Non-Student Temp - 131010</v>
      </c>
      <c r="C30" s="983"/>
      <c r="D30" s="1522" t="s">
        <v>154</v>
      </c>
      <c r="E30" s="1523"/>
      <c r="F30" s="1523"/>
      <c r="G30" s="1524"/>
      <c r="H30" s="443">
        <v>0</v>
      </c>
      <c r="I30" s="444">
        <f>H30/12</f>
        <v>0</v>
      </c>
      <c r="J30" s="27">
        <f>'Bdgt Yr 1'!J30*(1+'Budget Summary'!$G$35)</f>
        <v>0</v>
      </c>
      <c r="K30" s="337">
        <f>J30*I30</f>
        <v>0</v>
      </c>
      <c r="L30" s="34">
        <f>ROUNDUP(IF(I30=0, Constants!$N$21*H30, 0) + (K30*Constants!$N$20) + (Constants!$N$21*ROUNDUP(H30, 0)), 0)</f>
        <v>0</v>
      </c>
      <c r="M30" s="138">
        <f>(+K30+L30)</f>
        <v>0</v>
      </c>
      <c r="N30" s="240">
        <f>'Cost-Share'!J21</f>
        <v>0</v>
      </c>
      <c r="O30" s="238">
        <f>'Cost-Share'!K21</f>
        <v>0</v>
      </c>
      <c r="P30" s="270">
        <f>'Cost-Share'!L21</f>
        <v>0</v>
      </c>
      <c r="Q30" s="23"/>
      <c r="R30" s="420">
        <f t="shared" ref="R30:T31" si="7">K30+N30</f>
        <v>0</v>
      </c>
      <c r="S30" s="421">
        <f t="shared" si="7"/>
        <v>0</v>
      </c>
      <c r="T30" s="421">
        <f t="shared" si="7"/>
        <v>0</v>
      </c>
      <c r="U30" s="422" t="str">
        <f>IFERROR((P30/T30),"-")</f>
        <v>-</v>
      </c>
      <c r="V30" s="23"/>
    </row>
    <row r="31" spans="1:22" ht="15.75" customHeight="1">
      <c r="A31" s="23"/>
      <c r="B31" s="978" t="str">
        <f>'Bdgt Yr 1'!B31</f>
        <v>Non-Student Temp - 131010</v>
      </c>
      <c r="C31" s="979"/>
      <c r="D31" s="1525" t="s">
        <v>154</v>
      </c>
      <c r="E31" s="1526"/>
      <c r="F31" s="1526"/>
      <c r="G31" s="1527"/>
      <c r="H31" s="531">
        <f>F31*12</f>
        <v>0</v>
      </c>
      <c r="I31" s="532">
        <f>H31/12</f>
        <v>0</v>
      </c>
      <c r="J31" s="682">
        <f>'Bdgt Yr 1'!J31*(1+'Budget Summary'!$G$35)</f>
        <v>0</v>
      </c>
      <c r="K31" s="534">
        <f>J31*I31</f>
        <v>0</v>
      </c>
      <c r="L31" s="697">
        <f>ROUNDUP(IF(I31=0, Constants!$N$21*H31, 0) + (K31*Constants!$N$20) + (Constants!$N$21*ROUNDUP(H31, 0)), 0)</f>
        <v>0</v>
      </c>
      <c r="M31" s="535">
        <f>(+K31+L31)</f>
        <v>0</v>
      </c>
      <c r="N31" s="538">
        <f>'Cost-Share'!J22</f>
        <v>0</v>
      </c>
      <c r="O31" s="539">
        <f>'Cost-Share'!K22</f>
        <v>0</v>
      </c>
      <c r="P31" s="540">
        <f>'Cost-Share'!L22</f>
        <v>0</v>
      </c>
      <c r="Q31" s="23"/>
      <c r="R31" s="497">
        <f t="shared" si="7"/>
        <v>0</v>
      </c>
      <c r="S31" s="498">
        <f t="shared" si="7"/>
        <v>0</v>
      </c>
      <c r="T31" s="498">
        <f t="shared" si="7"/>
        <v>0</v>
      </c>
      <c r="U31" s="499" t="str">
        <f>IFERROR((P31/T31),"-")</f>
        <v>-</v>
      </c>
      <c r="V31" s="23"/>
    </row>
    <row r="32" spans="1:22" ht="7.5" customHeight="1">
      <c r="A32" s="23"/>
      <c r="B32" s="960"/>
      <c r="C32" s="960"/>
      <c r="D32" s="960"/>
      <c r="E32" s="960"/>
      <c r="F32" s="960"/>
      <c r="G32" s="960"/>
      <c r="H32" s="960"/>
      <c r="I32" s="960"/>
      <c r="J32" s="960"/>
      <c r="K32" s="960"/>
      <c r="L32" s="960"/>
      <c r="M32" s="960"/>
      <c r="Q32" s="23"/>
      <c r="V32" s="23"/>
    </row>
    <row r="33" spans="1:23" s="398" customFormat="1" ht="15.75" customHeight="1" thickBot="1">
      <c r="B33" s="985" t="s">
        <v>163</v>
      </c>
      <c r="C33" s="985"/>
      <c r="D33" s="985"/>
      <c r="E33" s="985"/>
      <c r="F33" s="985"/>
      <c r="G33" s="985"/>
      <c r="H33" s="985"/>
      <c r="I33" s="985"/>
      <c r="J33" s="985"/>
      <c r="K33" s="985"/>
      <c r="L33" s="985"/>
      <c r="M33" s="985"/>
      <c r="N33" s="985"/>
      <c r="O33" s="985"/>
      <c r="P33" s="985"/>
      <c r="Q33" s="23"/>
      <c r="R33" s="974"/>
      <c r="S33" s="974"/>
      <c r="T33" s="974"/>
      <c r="U33" s="974"/>
    </row>
    <row r="34" spans="1:23" ht="7.5" customHeight="1" thickBot="1">
      <c r="A34" s="23"/>
      <c r="B34" s="960"/>
      <c r="C34" s="960"/>
      <c r="D34" s="960"/>
      <c r="E34" s="960"/>
      <c r="F34" s="960"/>
      <c r="G34" s="960"/>
      <c r="H34" s="960"/>
      <c r="I34" s="960"/>
      <c r="J34" s="960"/>
      <c r="K34" s="960"/>
      <c r="L34" s="960"/>
      <c r="M34" s="960"/>
      <c r="Q34" s="23"/>
      <c r="V34" s="23"/>
    </row>
    <row r="35" spans="1:23" ht="28.5" customHeight="1">
      <c r="A35" s="23"/>
      <c r="B35" s="1098" t="s">
        <v>164</v>
      </c>
      <c r="C35" s="1099"/>
      <c r="D35" s="1099"/>
      <c r="E35" s="1099"/>
      <c r="F35" s="1099"/>
      <c r="G35" s="1099"/>
      <c r="H35" s="1099"/>
      <c r="I35" s="1099"/>
      <c r="J35" s="1099"/>
      <c r="K35" s="1099"/>
      <c r="L35" s="1099"/>
      <c r="M35" s="1100"/>
      <c r="N35" s="1093" t="s">
        <v>134</v>
      </c>
      <c r="O35" s="1094"/>
      <c r="P35" s="1095"/>
      <c r="Q35" s="410"/>
      <c r="R35" s="975" t="s">
        <v>135</v>
      </c>
      <c r="S35" s="976"/>
      <c r="T35" s="976"/>
      <c r="U35" s="977"/>
      <c r="V35" s="529"/>
      <c r="W35" s="528"/>
    </row>
    <row r="36" spans="1:23" ht="29.25" customHeight="1">
      <c r="A36" s="23"/>
      <c r="B36" s="980" t="s">
        <v>158</v>
      </c>
      <c r="C36" s="981"/>
      <c r="D36" s="1528" t="s">
        <v>159</v>
      </c>
      <c r="E36" s="1529"/>
      <c r="F36" s="1529"/>
      <c r="G36" s="1530"/>
      <c r="H36" s="1001" t="s">
        <v>165</v>
      </c>
      <c r="I36" s="1002"/>
      <c r="J36" s="438" t="s">
        <v>166</v>
      </c>
      <c r="K36" s="439" t="s">
        <v>161</v>
      </c>
      <c r="L36" s="439" t="s">
        <v>145</v>
      </c>
      <c r="M36" s="440" t="s">
        <v>146</v>
      </c>
      <c r="N36" s="263" t="s">
        <v>147</v>
      </c>
      <c r="O36" s="239" t="s">
        <v>148</v>
      </c>
      <c r="P36" s="271" t="s">
        <v>149</v>
      </c>
      <c r="Q36" s="23"/>
      <c r="R36" s="414" t="s">
        <v>150</v>
      </c>
      <c r="S36" s="415" t="s">
        <v>151</v>
      </c>
      <c r="T36" s="415" t="s">
        <v>152</v>
      </c>
      <c r="U36" s="416" t="s">
        <v>153</v>
      </c>
      <c r="V36" s="23"/>
    </row>
    <row r="37" spans="1:23" ht="15" customHeight="1">
      <c r="A37" s="23"/>
      <c r="B37" s="982">
        <f>'Bdgt Yr 1'!B37</f>
        <v>131010</v>
      </c>
      <c r="C37" s="983"/>
      <c r="D37" s="1522" t="s">
        <v>154</v>
      </c>
      <c r="E37" s="1523"/>
      <c r="F37" s="1523"/>
      <c r="G37" s="1524"/>
      <c r="H37" s="1003">
        <f>'Bdgt Yr 1'!H37*(1+'Budget Summary'!$G$35)</f>
        <v>0</v>
      </c>
      <c r="I37" s="1004"/>
      <c r="J37" s="27">
        <f>'Bdgt Yr 1'!J37*(1+'Budget Summary'!$G$35)</f>
        <v>0</v>
      </c>
      <c r="K37" s="34">
        <f>ROUNDUP((H37*J37),0)</f>
        <v>0</v>
      </c>
      <c r="L37" s="695">
        <f>ROUNDUP((K37*Constants!$N$20),0)</f>
        <v>0</v>
      </c>
      <c r="M37" s="59">
        <f>(+K37+L37)</f>
        <v>0</v>
      </c>
      <c r="N37" s="240">
        <f>'Cost-Share'!J25</f>
        <v>0</v>
      </c>
      <c r="O37" s="238">
        <f>'Cost-Share'!K25</f>
        <v>0</v>
      </c>
      <c r="P37" s="270">
        <f>'Cost-Share'!L25</f>
        <v>0</v>
      </c>
      <c r="Q37" s="23"/>
      <c r="R37" s="420">
        <f t="shared" ref="R37:T38" si="8">K37+N37</f>
        <v>0</v>
      </c>
      <c r="S37" s="421">
        <f t="shared" si="8"/>
        <v>0</v>
      </c>
      <c r="T37" s="421">
        <f t="shared" si="8"/>
        <v>0</v>
      </c>
      <c r="U37" s="422" t="str">
        <f>IFERROR((P37/T37),"-")</f>
        <v>-</v>
      </c>
      <c r="V37" s="23"/>
    </row>
    <row r="38" spans="1:23" ht="15.75" customHeight="1" thickBot="1">
      <c r="A38" s="23"/>
      <c r="B38" s="982">
        <f>'Bdgt Yr 1'!B38</f>
        <v>131010</v>
      </c>
      <c r="C38" s="983"/>
      <c r="D38" s="1525" t="s">
        <v>154</v>
      </c>
      <c r="E38" s="1526"/>
      <c r="F38" s="1526"/>
      <c r="G38" s="1527"/>
      <c r="H38" s="1096">
        <v>0</v>
      </c>
      <c r="I38" s="1097"/>
      <c r="J38" s="27">
        <f>'Bdgt Yr 1'!J38*(1+'Budget Summary'!$G$35)</f>
        <v>0</v>
      </c>
      <c r="K38" s="34">
        <f>ROUNDUP((H38*J38),0)</f>
        <v>0</v>
      </c>
      <c r="L38" s="31">
        <f>ROUNDUP((K38*Constants!$N$20),0)</f>
        <v>0</v>
      </c>
      <c r="M38" s="61">
        <f>(+K38+L38)</f>
        <v>0</v>
      </c>
      <c r="N38" s="240">
        <f>'Cost-Share'!J26</f>
        <v>0</v>
      </c>
      <c r="O38" s="238">
        <f>'Cost-Share'!K26</f>
        <v>0</v>
      </c>
      <c r="P38" s="270">
        <f>'Cost-Share'!L26</f>
        <v>0</v>
      </c>
      <c r="Q38" s="23"/>
      <c r="R38" s="420">
        <f t="shared" si="8"/>
        <v>0</v>
      </c>
      <c r="S38" s="421">
        <f t="shared" si="8"/>
        <v>0</v>
      </c>
      <c r="T38" s="421">
        <f t="shared" si="8"/>
        <v>0</v>
      </c>
      <c r="U38" s="422" t="str">
        <f>IFERROR((P38/T38),"-")</f>
        <v>-</v>
      </c>
      <c r="V38" s="23"/>
    </row>
    <row r="39" spans="1:23" ht="15" thickBot="1">
      <c r="A39" s="23"/>
      <c r="B39" s="990" t="s">
        <v>167</v>
      </c>
      <c r="C39" s="991"/>
      <c r="D39" s="991"/>
      <c r="E39" s="991"/>
      <c r="F39" s="991"/>
      <c r="G39" s="991"/>
      <c r="H39" s="991"/>
      <c r="I39" s="991"/>
      <c r="J39" s="991"/>
      <c r="K39" s="276">
        <f>SUM(K30:K38)</f>
        <v>0</v>
      </c>
      <c r="L39" s="277">
        <f>SUM(L30:L38)</f>
        <v>0</v>
      </c>
      <c r="M39" s="279">
        <f>SUM(M30:M38)</f>
        <v>0</v>
      </c>
      <c r="N39" s="288">
        <f t="shared" ref="N39:O39" si="9">SUM(N30:N38)</f>
        <v>0</v>
      </c>
      <c r="O39" s="282">
        <f t="shared" si="9"/>
        <v>0</v>
      </c>
      <c r="P39" s="283">
        <f>SUM(P30:P38)</f>
        <v>0</v>
      </c>
      <c r="Q39" s="23"/>
      <c r="R39" s="434">
        <f>SUM(R30:R38)</f>
        <v>0</v>
      </c>
      <c r="S39" s="446">
        <f>SUM(S30:S38)</f>
        <v>0</v>
      </c>
      <c r="T39" s="446">
        <f>SUM(T30:T38)</f>
        <v>0</v>
      </c>
      <c r="U39" s="447"/>
      <c r="V39" s="23"/>
    </row>
    <row r="40" spans="1:23" ht="7.5" customHeight="1">
      <c r="A40" s="23"/>
      <c r="B40" s="960"/>
      <c r="C40" s="960"/>
      <c r="D40" s="960"/>
      <c r="E40" s="960"/>
      <c r="F40" s="960"/>
      <c r="G40" s="960"/>
      <c r="H40" s="960"/>
      <c r="I40" s="960"/>
      <c r="J40" s="960"/>
      <c r="K40" s="960"/>
      <c r="L40" s="960"/>
      <c r="M40" s="960"/>
      <c r="Q40" s="23"/>
      <c r="V40" s="23"/>
    </row>
    <row r="41" spans="1:23" s="398" customFormat="1" ht="15.75" customHeight="1" thickBot="1">
      <c r="B41" s="985" t="s">
        <v>168</v>
      </c>
      <c r="C41" s="985"/>
      <c r="D41" s="985"/>
      <c r="E41" s="985"/>
      <c r="F41" s="985"/>
      <c r="G41" s="985"/>
      <c r="H41" s="985"/>
      <c r="I41" s="985"/>
      <c r="J41" s="985"/>
      <c r="K41" s="985"/>
      <c r="L41" s="985"/>
      <c r="M41" s="985"/>
      <c r="N41" s="985"/>
      <c r="O41" s="985"/>
      <c r="P41" s="985"/>
      <c r="Q41" s="23"/>
      <c r="R41" s="974"/>
      <c r="S41" s="974"/>
      <c r="T41" s="974"/>
      <c r="U41" s="974"/>
    </row>
    <row r="42" spans="1:23" ht="7.5" customHeight="1">
      <c r="A42" s="23"/>
      <c r="B42" s="960"/>
      <c r="C42" s="960"/>
      <c r="D42" s="960"/>
      <c r="E42" s="960"/>
      <c r="F42" s="960"/>
      <c r="G42" s="960"/>
      <c r="H42" s="960"/>
      <c r="I42" s="960"/>
      <c r="J42" s="960"/>
      <c r="K42" s="960"/>
      <c r="L42" s="960"/>
      <c r="M42" s="960"/>
      <c r="Q42" s="23"/>
      <c r="V42" s="23"/>
    </row>
    <row r="43" spans="1:23" ht="42" customHeight="1">
      <c r="A43" s="23"/>
      <c r="B43" s="1068" t="s">
        <v>169</v>
      </c>
      <c r="C43" s="1069"/>
      <c r="D43" s="1069"/>
      <c r="E43" s="1069"/>
      <c r="F43" s="1069"/>
      <c r="G43" s="1069"/>
      <c r="H43" s="1069"/>
      <c r="I43" s="1069"/>
      <c r="J43" s="1069"/>
      <c r="K43" s="1069"/>
      <c r="L43" s="1069"/>
      <c r="M43" s="1069"/>
      <c r="N43" s="1063" t="s">
        <v>134</v>
      </c>
      <c r="O43" s="1064"/>
      <c r="P43" s="1065"/>
      <c r="Q43" s="23"/>
      <c r="R43" s="1080" t="s">
        <v>135</v>
      </c>
      <c r="S43" s="1081"/>
      <c r="T43" s="1081"/>
      <c r="U43" s="1082"/>
      <c r="V43" s="23"/>
    </row>
    <row r="44" spans="1:23" ht="30" customHeight="1">
      <c r="A44" s="23"/>
      <c r="B44" s="980" t="s">
        <v>158</v>
      </c>
      <c r="C44" s="981"/>
      <c r="D44" s="1528" t="s">
        <v>159</v>
      </c>
      <c r="E44" s="1529"/>
      <c r="F44" s="1529"/>
      <c r="G44" s="1531"/>
      <c r="H44" s="449" t="s">
        <v>170</v>
      </c>
      <c r="I44" s="449" t="s">
        <v>171</v>
      </c>
      <c r="J44" s="438" t="s">
        <v>166</v>
      </c>
      <c r="K44" s="450" t="s">
        <v>144</v>
      </c>
      <c r="L44" s="450" t="s">
        <v>145</v>
      </c>
      <c r="M44" s="451" t="s">
        <v>146</v>
      </c>
      <c r="N44" s="263" t="s">
        <v>147</v>
      </c>
      <c r="O44" s="239" t="s">
        <v>148</v>
      </c>
      <c r="P44" s="271" t="s">
        <v>149</v>
      </c>
      <c r="Q44" s="23"/>
      <c r="R44" s="414" t="s">
        <v>150</v>
      </c>
      <c r="S44" s="415" t="s">
        <v>151</v>
      </c>
      <c r="T44" s="415" t="s">
        <v>152</v>
      </c>
      <c r="U44" s="441" t="s">
        <v>153</v>
      </c>
      <c r="V44" s="23"/>
    </row>
    <row r="45" spans="1:23" ht="15" customHeight="1">
      <c r="A45" s="23"/>
      <c r="B45" s="982">
        <v>135050</v>
      </c>
      <c r="C45" s="983"/>
      <c r="D45" s="1532" t="s">
        <v>172</v>
      </c>
      <c r="E45" s="1533"/>
      <c r="F45" s="1533"/>
      <c r="G45" s="1534"/>
      <c r="H45" s="453">
        <v>0</v>
      </c>
      <c r="I45" s="453">
        <v>0</v>
      </c>
      <c r="J45" s="454">
        <v>0</v>
      </c>
      <c r="K45" s="25">
        <f>(+H45+I45)*J45</f>
        <v>0</v>
      </c>
      <c r="L45" s="25">
        <f>ROUNDUP((((I45*J45)*Constants!$N$20)+((H45*J45)*Constants!$N$18)),0)</f>
        <v>0</v>
      </c>
      <c r="M45" s="133">
        <f>(+K45+L45)</f>
        <v>0</v>
      </c>
      <c r="N45" s="240">
        <f>'Cost-Share'!S30</f>
        <v>0</v>
      </c>
      <c r="O45" s="238">
        <f>'Cost-Share'!T30</f>
        <v>0</v>
      </c>
      <c r="P45" s="270">
        <f>'Cost-Share'!U30</f>
        <v>0</v>
      </c>
      <c r="Q45" s="23"/>
      <c r="R45" s="420">
        <f>K45+N45</f>
        <v>0</v>
      </c>
      <c r="S45" s="421">
        <f>L45+O45</f>
        <v>0</v>
      </c>
      <c r="T45" s="421">
        <f>M45+P45</f>
        <v>0</v>
      </c>
      <c r="U45" s="422" t="str">
        <f>IFERROR((P49/T45),"-")</f>
        <v>-</v>
      </c>
      <c r="V45" s="23"/>
    </row>
    <row r="46" spans="1:23" ht="14.25" customHeight="1">
      <c r="A46" s="23"/>
      <c r="B46" s="982">
        <v>135050</v>
      </c>
      <c r="C46" s="983"/>
      <c r="D46" s="1532" t="s">
        <v>172</v>
      </c>
      <c r="E46" s="1533"/>
      <c r="F46" s="1533"/>
      <c r="G46" s="1534"/>
      <c r="H46" s="456">
        <v>0</v>
      </c>
      <c r="I46" s="456">
        <v>0</v>
      </c>
      <c r="J46" s="454">
        <v>0</v>
      </c>
      <c r="K46" s="25">
        <f t="shared" ref="K46:K48" si="10">(+H46+I46)*J46</f>
        <v>0</v>
      </c>
      <c r="L46" s="25">
        <f>ROUNDUP((((I46*J46)*Constants!$N$20)+((H46*J46)*Constants!$N$18)),0)</f>
        <v>0</v>
      </c>
      <c r="M46" s="134">
        <f t="shared" ref="M46:M47" si="11">(+K46+L46)</f>
        <v>0</v>
      </c>
      <c r="N46" s="240">
        <f>'Cost-Share'!S31</f>
        <v>0</v>
      </c>
      <c r="O46" s="238">
        <f>'Cost-Share'!T31</f>
        <v>0</v>
      </c>
      <c r="P46" s="270">
        <f>'Cost-Share'!U31</f>
        <v>0</v>
      </c>
      <c r="Q46" s="23"/>
      <c r="R46" s="420">
        <f t="shared" ref="R46" si="12">K46+N46</f>
        <v>0</v>
      </c>
      <c r="S46" s="421">
        <f t="shared" ref="S46" si="13">L46+O46</f>
        <v>0</v>
      </c>
      <c r="T46" s="421">
        <f t="shared" ref="T46" si="14">M46+P46</f>
        <v>0</v>
      </c>
      <c r="U46" s="422" t="str">
        <f>IFERROR((P50/T46),"-")</f>
        <v>-</v>
      </c>
      <c r="V46" s="23"/>
    </row>
    <row r="47" spans="1:23" ht="15" customHeight="1">
      <c r="A47" s="23"/>
      <c r="B47" s="982">
        <v>135050</v>
      </c>
      <c r="C47" s="983"/>
      <c r="D47" s="1532" t="s">
        <v>173</v>
      </c>
      <c r="E47" s="1533"/>
      <c r="F47" s="1533"/>
      <c r="G47" s="1534"/>
      <c r="H47" s="457">
        <v>0</v>
      </c>
      <c r="I47" s="457">
        <v>0</v>
      </c>
      <c r="J47" s="454">
        <v>0</v>
      </c>
      <c r="K47" s="25">
        <f t="shared" si="10"/>
        <v>0</v>
      </c>
      <c r="L47" s="25">
        <f>ROUNDUP((((I47*J47)*Constants!$N$20)+((H47*J47)*Constants!$N$18)),0)</f>
        <v>0</v>
      </c>
      <c r="M47" s="134">
        <f t="shared" si="11"/>
        <v>0</v>
      </c>
      <c r="N47" s="240">
        <f>'Cost-Share'!S32</f>
        <v>0</v>
      </c>
      <c r="O47" s="238">
        <f>'Cost-Share'!T32</f>
        <v>0</v>
      </c>
      <c r="P47" s="270">
        <f>'Cost-Share'!U32</f>
        <v>0</v>
      </c>
      <c r="Q47" s="448"/>
      <c r="R47" s="420">
        <f>K47+N47</f>
        <v>0</v>
      </c>
      <c r="S47" s="421">
        <f>L47+O47</f>
        <v>0</v>
      </c>
      <c r="T47" s="421">
        <f>M47+P47</f>
        <v>0</v>
      </c>
      <c r="U47" s="422" t="str">
        <f>IFERROR((P51/T47),"-")</f>
        <v>-</v>
      </c>
      <c r="V47" s="23"/>
    </row>
    <row r="48" spans="1:23" ht="15" customHeight="1">
      <c r="A48" s="23"/>
      <c r="B48" s="982">
        <v>135050</v>
      </c>
      <c r="C48" s="983"/>
      <c r="D48" s="1532" t="s">
        <v>173</v>
      </c>
      <c r="E48" s="1533"/>
      <c r="F48" s="1533"/>
      <c r="G48" s="1534"/>
      <c r="H48" s="458">
        <v>0</v>
      </c>
      <c r="I48" s="458">
        <v>0</v>
      </c>
      <c r="J48" s="459">
        <v>0</v>
      </c>
      <c r="K48" s="25">
        <f t="shared" si="10"/>
        <v>0</v>
      </c>
      <c r="L48" s="25">
        <f>ROUNDUP((((I48*J48)*Constants!$N$20)+((H48*J48)*Constants!$N$18)),0)</f>
        <v>0</v>
      </c>
      <c r="M48" s="60">
        <f>(+K48+L48)</f>
        <v>0</v>
      </c>
      <c r="N48" s="240">
        <f>'Cost-Share'!S33</f>
        <v>0</v>
      </c>
      <c r="O48" s="238">
        <f>'Cost-Share'!T33</f>
        <v>0</v>
      </c>
      <c r="P48" s="270">
        <f>'Cost-Share'!U33</f>
        <v>0</v>
      </c>
      <c r="Q48" s="23"/>
      <c r="R48" s="420">
        <f t="shared" ref="R48" si="15">K48+N48</f>
        <v>0</v>
      </c>
      <c r="S48" s="421">
        <f t="shared" ref="S48" si="16">L48+O48</f>
        <v>0</v>
      </c>
      <c r="T48" s="421">
        <f t="shared" ref="T48" si="17">M48+P48</f>
        <v>0</v>
      </c>
      <c r="U48" s="422" t="str">
        <f>IFERROR((#REF!/T48),"-")</f>
        <v>-</v>
      </c>
      <c r="V48" s="23"/>
    </row>
    <row r="49" spans="1:22">
      <c r="A49" s="23"/>
      <c r="B49" s="982"/>
      <c r="C49" s="983"/>
      <c r="D49" s="998"/>
      <c r="E49" s="999"/>
      <c r="F49" s="999"/>
      <c r="G49" s="1000"/>
      <c r="H49" s="1085" t="s">
        <v>174</v>
      </c>
      <c r="I49" s="1086"/>
      <c r="J49" s="461" t="s">
        <v>175</v>
      </c>
      <c r="K49" s="1090"/>
      <c r="L49" s="460" t="s">
        <v>145</v>
      </c>
      <c r="M49" s="460" t="s">
        <v>146</v>
      </c>
      <c r="N49" s="243" t="s">
        <v>176</v>
      </c>
      <c r="O49" s="244" t="s">
        <v>145</v>
      </c>
      <c r="P49" s="293" t="s">
        <v>146</v>
      </c>
      <c r="Q49" s="23"/>
      <c r="R49" s="496" t="s">
        <v>176</v>
      </c>
      <c r="S49" s="463" t="s">
        <v>145</v>
      </c>
      <c r="T49" s="463" t="s">
        <v>152</v>
      </c>
      <c r="U49" s="464" t="s">
        <v>153</v>
      </c>
      <c r="V49" s="23"/>
    </row>
    <row r="50" spans="1:22" ht="15" customHeight="1">
      <c r="A50" s="23"/>
      <c r="B50" s="982">
        <v>135050</v>
      </c>
      <c r="C50" s="983"/>
      <c r="D50" s="1532" t="s">
        <v>177</v>
      </c>
      <c r="E50" s="1533"/>
      <c r="F50" s="1533"/>
      <c r="G50" s="1534"/>
      <c r="H50" s="1087">
        <v>0</v>
      </c>
      <c r="I50" s="1088"/>
      <c r="J50" s="465">
        <v>0</v>
      </c>
      <c r="K50" s="1091"/>
      <c r="L50" s="60">
        <f>ROUNDUP(((J50*Constants!$N$20)+(H50*Constants!$N$18)),0)</f>
        <v>0</v>
      </c>
      <c r="M50" s="60">
        <f>(H50+J50+L50)</f>
        <v>0</v>
      </c>
      <c r="N50" s="240">
        <f>'Cost-Share'!S35</f>
        <v>0</v>
      </c>
      <c r="O50" s="238">
        <f>'Cost-Share'!T35</f>
        <v>0</v>
      </c>
      <c r="P50" s="270">
        <f>'Cost-Share'!U35</f>
        <v>0</v>
      </c>
      <c r="Q50" s="23"/>
      <c r="R50" s="420">
        <f>K50+N50</f>
        <v>0</v>
      </c>
      <c r="S50" s="421">
        <f>L50+O50</f>
        <v>0</v>
      </c>
      <c r="T50" s="421">
        <f>M50+P50</f>
        <v>0</v>
      </c>
      <c r="U50" s="422" t="str">
        <f>IFERROR((#REF!/T50),"-")</f>
        <v>-</v>
      </c>
      <c r="V50" s="23"/>
    </row>
    <row r="51" spans="1:22" ht="15" customHeight="1" thickBot="1">
      <c r="A51" s="23"/>
      <c r="B51" s="982">
        <v>135050</v>
      </c>
      <c r="C51" s="983"/>
      <c r="D51" s="1525" t="s">
        <v>177</v>
      </c>
      <c r="E51" s="1526"/>
      <c r="F51" s="1526"/>
      <c r="G51" s="1527"/>
      <c r="H51" s="1083">
        <v>0</v>
      </c>
      <c r="I51" s="1084"/>
      <c r="J51" s="466">
        <v>0</v>
      </c>
      <c r="K51" s="1092"/>
      <c r="L51" s="60">
        <f>(J51*Constants!$N$20)+(H51*Constants!$N$18)</f>
        <v>0</v>
      </c>
      <c r="M51" s="60">
        <f>(H51+J51+L51)</f>
        <v>0</v>
      </c>
      <c r="N51" s="240">
        <f>'Cost-Share'!S36</f>
        <v>0</v>
      </c>
      <c r="O51" s="238">
        <f>'Cost-Share'!T36</f>
        <v>0</v>
      </c>
      <c r="P51" s="270">
        <f>'Cost-Share'!U36</f>
        <v>0</v>
      </c>
      <c r="Q51" s="23"/>
      <c r="R51" s="497">
        <f t="shared" ref="R51" si="18">K51+N51</f>
        <v>0</v>
      </c>
      <c r="S51" s="498">
        <f t="shared" ref="S51" si="19">L51+O51</f>
        <v>0</v>
      </c>
      <c r="T51" s="498">
        <f t="shared" ref="T51" si="20">M51+P51</f>
        <v>0</v>
      </c>
      <c r="U51" s="499" t="str">
        <f>IFERROR((#REF!/T51),"-")</f>
        <v>-</v>
      </c>
      <c r="V51" s="23"/>
    </row>
    <row r="52" spans="1:22" ht="15" thickBot="1">
      <c r="A52" s="23"/>
      <c r="B52" s="990" t="s">
        <v>178</v>
      </c>
      <c r="C52" s="991"/>
      <c r="D52" s="991"/>
      <c r="E52" s="991"/>
      <c r="F52" s="991"/>
      <c r="G52" s="991"/>
      <c r="H52" s="991"/>
      <c r="I52" s="991"/>
      <c r="J52" s="991"/>
      <c r="K52" s="276">
        <f>SUM(K45:K48,H50:J51)</f>
        <v>0</v>
      </c>
      <c r="L52" s="277">
        <f>SUM(L45:L51)</f>
        <v>0</v>
      </c>
      <c r="M52" s="278">
        <f>SUM(M45:M51)</f>
        <v>0</v>
      </c>
      <c r="N52" s="294">
        <f>SUM(N49:N51)</f>
        <v>0</v>
      </c>
      <c r="O52" s="295">
        <f>SUM(O49:O51)</f>
        <v>0</v>
      </c>
      <c r="P52" s="296">
        <f>SUM(P49:P51)</f>
        <v>0</v>
      </c>
      <c r="Q52" s="23"/>
      <c r="R52" s="442">
        <f>SUM(R45:R51)</f>
        <v>0</v>
      </c>
      <c r="S52" s="446">
        <f>SUM(S45:S51)</f>
        <v>0</v>
      </c>
      <c r="T52" s="446">
        <f>SUM(T45:T51)</f>
        <v>0</v>
      </c>
      <c r="U52" s="447"/>
      <c r="V52" s="23"/>
    </row>
    <row r="53" spans="1:22" ht="7.5" customHeight="1" thickBot="1">
      <c r="A53" s="23"/>
      <c r="B53" s="960"/>
      <c r="C53" s="960"/>
      <c r="D53" s="960"/>
      <c r="E53" s="960"/>
      <c r="F53" s="960"/>
      <c r="G53" s="960"/>
      <c r="H53" s="960"/>
      <c r="I53" s="960"/>
      <c r="J53" s="960"/>
      <c r="K53" s="960"/>
      <c r="L53" s="960"/>
      <c r="M53" s="960"/>
      <c r="Q53" s="23"/>
      <c r="V53" s="23"/>
    </row>
    <row r="54" spans="1:22" ht="15" customHeight="1" thickBot="1">
      <c r="A54" s="23"/>
      <c r="B54" s="996" t="s">
        <v>179</v>
      </c>
      <c r="C54" s="997"/>
      <c r="D54" s="997"/>
      <c r="E54" s="997"/>
      <c r="F54" s="997"/>
      <c r="G54" s="997"/>
      <c r="H54" s="997"/>
      <c r="I54" s="997"/>
      <c r="J54" s="997"/>
      <c r="K54" s="298">
        <f t="shared" ref="K54:P54" si="21">K24+K39+K52</f>
        <v>0</v>
      </c>
      <c r="L54" s="298">
        <f>L24+L39+L52</f>
        <v>0</v>
      </c>
      <c r="M54" s="298">
        <f t="shared" si="21"/>
        <v>0</v>
      </c>
      <c r="N54" s="288">
        <f t="shared" si="21"/>
        <v>0</v>
      </c>
      <c r="O54" s="288">
        <f t="shared" si="21"/>
        <v>0</v>
      </c>
      <c r="P54" s="288">
        <f t="shared" si="21"/>
        <v>0</v>
      </c>
      <c r="Q54" s="23"/>
      <c r="V54" s="23"/>
    </row>
    <row r="55" spans="1:22" ht="7.5" customHeight="1">
      <c r="A55" s="23"/>
      <c r="B55" s="960"/>
      <c r="C55" s="960"/>
      <c r="D55" s="960"/>
      <c r="E55" s="960"/>
      <c r="F55" s="960"/>
      <c r="G55" s="960"/>
      <c r="H55" s="960"/>
      <c r="I55" s="960"/>
      <c r="J55" s="960"/>
      <c r="K55" s="960"/>
      <c r="L55" s="960"/>
      <c r="M55" s="960"/>
      <c r="Q55" s="23"/>
      <c r="V55" s="23"/>
    </row>
    <row r="56" spans="1:22" ht="15.75" thickBot="1">
      <c r="A56" s="23"/>
      <c r="B56" s="985" t="s">
        <v>180</v>
      </c>
      <c r="C56" s="985"/>
      <c r="D56" s="985"/>
      <c r="E56" s="985"/>
      <c r="F56" s="985"/>
      <c r="G56" s="985"/>
      <c r="H56" s="985"/>
      <c r="I56" s="985"/>
      <c r="J56" s="985"/>
      <c r="K56" s="985"/>
      <c r="L56" s="985"/>
      <c r="M56" s="985"/>
      <c r="N56" s="985"/>
      <c r="O56" s="985"/>
      <c r="P56" s="985"/>
      <c r="Q56" s="23"/>
      <c r="V56" s="23"/>
    </row>
    <row r="57" spans="1:22" ht="7.5" customHeight="1" thickBot="1">
      <c r="A57" s="23"/>
      <c r="B57" s="960"/>
      <c r="C57" s="960"/>
      <c r="D57" s="960"/>
      <c r="E57" s="960"/>
      <c r="F57" s="960"/>
      <c r="G57" s="960"/>
      <c r="H57" s="960"/>
      <c r="I57" s="960"/>
      <c r="J57" s="960"/>
      <c r="K57" s="960"/>
      <c r="L57" s="960"/>
      <c r="M57" s="960"/>
      <c r="Q57" s="23"/>
      <c r="V57" s="23"/>
    </row>
    <row r="58" spans="1:22">
      <c r="A58" s="23"/>
      <c r="B58" s="1535" t="s">
        <v>181</v>
      </c>
      <c r="C58" s="1536"/>
      <c r="D58" s="1536"/>
      <c r="E58" s="1536"/>
      <c r="F58" s="962" t="s">
        <v>182</v>
      </c>
      <c r="G58" s="962"/>
      <c r="H58" s="962" t="s">
        <v>183</v>
      </c>
      <c r="I58" s="962"/>
      <c r="J58" s="962" t="s">
        <v>184</v>
      </c>
      <c r="K58" s="962"/>
      <c r="L58" s="962"/>
      <c r="M58" s="467"/>
      <c r="N58" s="597" t="s">
        <v>185</v>
      </c>
      <c r="Q58" s="23"/>
      <c r="V58" s="23"/>
    </row>
    <row r="59" spans="1:22" ht="15" customHeight="1">
      <c r="A59" s="23"/>
      <c r="B59" s="1111" t="str">
        <f>'Bdgt Yr 1'!B59</f>
        <v>689036</v>
      </c>
      <c r="C59" s="1112">
        <f>'Bdgt Yr 1'!C68</f>
        <v>0</v>
      </c>
      <c r="D59" s="1537" t="s">
        <v>187</v>
      </c>
      <c r="E59" s="1538"/>
      <c r="F59" s="958"/>
      <c r="G59" s="959"/>
      <c r="H59" s="958"/>
      <c r="I59" s="1060"/>
      <c r="J59" s="959"/>
      <c r="K59" s="959"/>
      <c r="L59" s="1077"/>
      <c r="M59" s="469">
        <f>IFERROR(INDEX('Tuition &amp; Fees'!C4:D21,MATCH(J59,'Tuition &amp; Fees'!B4:B21,0),MATCH(H59,'Tuition &amp; Fees'!C3:D3,0)),"0")*F59</f>
        <v>0</v>
      </c>
      <c r="N59" s="303">
        <f>'Cost-Share'!U44</f>
        <v>0</v>
      </c>
      <c r="Q59" s="23"/>
      <c r="V59" s="23"/>
    </row>
    <row r="60" spans="1:22" ht="15" customHeight="1">
      <c r="A60" s="23"/>
      <c r="B60" s="1111" t="str">
        <f>'Bdgt Yr 1'!B60</f>
        <v>689036</v>
      </c>
      <c r="C60" s="1112">
        <f>'Bdgt Yr 1'!C69</f>
        <v>0</v>
      </c>
      <c r="D60" s="1539" t="s">
        <v>188</v>
      </c>
      <c r="E60" s="1540"/>
      <c r="F60" s="1058"/>
      <c r="G60" s="1059"/>
      <c r="H60" s="1058"/>
      <c r="I60" s="1061"/>
      <c r="J60" s="1078"/>
      <c r="K60" s="1078"/>
      <c r="L60" s="1079"/>
      <c r="M60" s="470">
        <f>IFERROR(INDEX('Tuition &amp; Fees'!C25:D42,MATCH(J60,'Tuition &amp; Fees'!B25:B42,0),MATCH(H60,'Tuition &amp; Fees'!C24:D24,0)),"0")*F60</f>
        <v>0</v>
      </c>
      <c r="N60" s="303">
        <f>'Cost-Share'!U45</f>
        <v>0</v>
      </c>
      <c r="Q60" s="23"/>
      <c r="V60" s="23"/>
    </row>
    <row r="61" spans="1:22" ht="15.75" customHeight="1">
      <c r="A61" s="23"/>
      <c r="B61" s="1111">
        <f>'Bdgt Yr 1'!B61</f>
        <v>689036</v>
      </c>
      <c r="C61" s="1112">
        <f>'Bdgt Yr 1'!C70</f>
        <v>0</v>
      </c>
      <c r="D61" s="1541" t="s">
        <v>189</v>
      </c>
      <c r="E61" s="1542"/>
      <c r="F61" s="967"/>
      <c r="G61" s="968"/>
      <c r="H61" s="968"/>
      <c r="I61" s="968"/>
      <c r="J61" s="968"/>
      <c r="K61" s="968"/>
      <c r="L61" s="969"/>
      <c r="M61" s="61">
        <v>0</v>
      </c>
      <c r="N61" s="303">
        <f>'Cost-Share'!U46</f>
        <v>0</v>
      </c>
      <c r="Q61" s="23"/>
      <c r="V61" s="23"/>
    </row>
    <row r="62" spans="1:22">
      <c r="A62" s="23"/>
      <c r="B62" s="990" t="s">
        <v>229</v>
      </c>
      <c r="C62" s="991"/>
      <c r="D62" s="991"/>
      <c r="E62" s="991"/>
      <c r="F62" s="991"/>
      <c r="G62" s="991"/>
      <c r="H62" s="991"/>
      <c r="I62" s="991"/>
      <c r="J62" s="991"/>
      <c r="K62" s="991"/>
      <c r="L62" s="1012"/>
      <c r="M62" s="342">
        <f>SUM(M59:M61)</f>
        <v>0</v>
      </c>
      <c r="N62" s="598">
        <f>SUM(N59:N61)</f>
        <v>0</v>
      </c>
      <c r="Q62" s="23"/>
      <c r="V62" s="23"/>
    </row>
    <row r="63" spans="1:22" ht="7.5" customHeight="1" thickBot="1">
      <c r="A63" s="23"/>
      <c r="B63" s="960"/>
      <c r="C63" s="960"/>
      <c r="D63" s="960"/>
      <c r="E63" s="960"/>
      <c r="F63" s="960"/>
      <c r="G63" s="960"/>
      <c r="H63" s="960"/>
      <c r="I63" s="960"/>
      <c r="J63" s="960"/>
      <c r="K63" s="960"/>
      <c r="L63" s="960"/>
      <c r="M63" s="960"/>
      <c r="Q63" s="23"/>
      <c r="V63" s="23"/>
    </row>
    <row r="64" spans="1:22">
      <c r="A64" s="23"/>
      <c r="B64" s="1543" t="s">
        <v>230</v>
      </c>
      <c r="C64" s="1544"/>
      <c r="D64" s="1544"/>
      <c r="E64" s="1544"/>
      <c r="F64" s="961" t="s">
        <v>191</v>
      </c>
      <c r="G64" s="961"/>
      <c r="H64" s="961"/>
      <c r="I64" s="961"/>
      <c r="J64" s="961"/>
      <c r="K64" s="961"/>
      <c r="L64" s="961"/>
      <c r="M64" s="961"/>
      <c r="N64" s="471" t="s">
        <v>185</v>
      </c>
      <c r="P64" s="472"/>
      <c r="Q64" s="23"/>
      <c r="V64" s="23"/>
    </row>
    <row r="65" spans="1:22" ht="15" customHeight="1">
      <c r="A65" s="23"/>
      <c r="B65" s="1111" t="str">
        <f>'Bdgt Yr 1'!B65</f>
        <v>4000BP</v>
      </c>
      <c r="C65" s="1112">
        <f>'Bdgt Yr 1'!C74</f>
        <v>0</v>
      </c>
      <c r="D65" s="1545" t="s">
        <v>116</v>
      </c>
      <c r="E65" s="1546"/>
      <c r="F65" s="1006"/>
      <c r="G65" s="1007"/>
      <c r="H65" s="1007"/>
      <c r="I65" s="1007"/>
      <c r="J65" s="1007"/>
      <c r="K65" s="1007"/>
      <c r="L65" s="1008"/>
      <c r="M65" s="469">
        <v>0</v>
      </c>
      <c r="N65" s="303">
        <f>'Cost-Share'!U50</f>
        <v>0</v>
      </c>
      <c r="Q65" s="23"/>
      <c r="V65" s="23"/>
    </row>
    <row r="66" spans="1:22" ht="15.75" customHeight="1" thickBot="1">
      <c r="A66" s="23"/>
      <c r="B66" s="1111" t="str">
        <f>'Bdgt Yr 1'!B66</f>
        <v>4000BP</v>
      </c>
      <c r="C66" s="1112">
        <f>'Bdgt Yr 1'!C75</f>
        <v>0</v>
      </c>
      <c r="D66" s="1541" t="s">
        <v>116</v>
      </c>
      <c r="E66" s="1542"/>
      <c r="F66" s="967"/>
      <c r="G66" s="968"/>
      <c r="H66" s="968"/>
      <c r="I66" s="968"/>
      <c r="J66" s="968"/>
      <c r="K66" s="968"/>
      <c r="L66" s="969"/>
      <c r="M66" s="61">
        <v>0</v>
      </c>
      <c r="N66" s="303">
        <f>'Cost-Share'!U51</f>
        <v>0</v>
      </c>
      <c r="Q66" s="23"/>
      <c r="V66" s="23"/>
    </row>
    <row r="67" spans="1:22" ht="15" thickBot="1">
      <c r="A67" s="23"/>
      <c r="B67" s="990" t="s">
        <v>193</v>
      </c>
      <c r="C67" s="991"/>
      <c r="D67" s="991"/>
      <c r="E67" s="991"/>
      <c r="F67" s="991"/>
      <c r="G67" s="991"/>
      <c r="H67" s="991"/>
      <c r="I67" s="991"/>
      <c r="J67" s="991"/>
      <c r="K67" s="991"/>
      <c r="L67" s="1011"/>
      <c r="M67" s="341">
        <f>SUM(M65:M66)</f>
        <v>0</v>
      </c>
      <c r="N67" s="304">
        <f>SUM(N65:N66)</f>
        <v>0</v>
      </c>
      <c r="Q67" s="23"/>
      <c r="V67" s="23"/>
    </row>
    <row r="68" spans="1:22" ht="7.5" customHeight="1" thickBot="1">
      <c r="A68" s="23"/>
      <c r="B68" s="960"/>
      <c r="C68" s="960"/>
      <c r="D68" s="960"/>
      <c r="E68" s="960"/>
      <c r="F68" s="960"/>
      <c r="G68" s="960"/>
      <c r="H68" s="960"/>
      <c r="I68" s="960"/>
      <c r="J68" s="960"/>
      <c r="K68" s="960"/>
      <c r="L68" s="960"/>
      <c r="M68" s="960"/>
      <c r="Q68" s="23"/>
      <c r="V68" s="23"/>
    </row>
    <row r="69" spans="1:22">
      <c r="A69" s="23"/>
      <c r="B69" s="1535" t="s">
        <v>194</v>
      </c>
      <c r="C69" s="1536"/>
      <c r="D69" s="1536"/>
      <c r="E69" s="1536"/>
      <c r="F69" s="962" t="s">
        <v>191</v>
      </c>
      <c r="G69" s="962"/>
      <c r="H69" s="962"/>
      <c r="I69" s="962"/>
      <c r="J69" s="962"/>
      <c r="K69" s="962"/>
      <c r="L69" s="962"/>
      <c r="M69" s="962"/>
      <c r="N69" s="597" t="s">
        <v>185</v>
      </c>
      <c r="Q69" s="23"/>
      <c r="V69" s="23"/>
    </row>
    <row r="70" spans="1:22" ht="15" customHeight="1">
      <c r="A70" s="23"/>
      <c r="B70" s="1111" t="str">
        <f>'Bdgt Yr 1'!B70</f>
        <v>5000BP</v>
      </c>
      <c r="C70" s="1112">
        <f>'Bdgt Yr 1'!C79</f>
        <v>0</v>
      </c>
      <c r="D70" s="1537" t="s">
        <v>196</v>
      </c>
      <c r="E70" s="1547"/>
      <c r="F70" s="1015"/>
      <c r="G70" s="1016"/>
      <c r="H70" s="1016"/>
      <c r="I70" s="1016"/>
      <c r="J70" s="1016"/>
      <c r="K70" s="1016"/>
      <c r="L70" s="1017"/>
      <c r="M70" s="469">
        <v>0</v>
      </c>
      <c r="N70" s="303">
        <f>'Cost-Share'!U55</f>
        <v>0</v>
      </c>
      <c r="Q70" s="23"/>
      <c r="V70" s="23"/>
    </row>
    <row r="71" spans="1:22" ht="15" customHeight="1">
      <c r="A71" s="23"/>
      <c r="B71" s="1111" t="str">
        <f>'Bdgt Yr 1'!B71</f>
        <v>271410</v>
      </c>
      <c r="C71" s="1112">
        <f>'Bdgt Yr 1'!C80</f>
        <v>0</v>
      </c>
      <c r="D71" s="1539" t="s">
        <v>120</v>
      </c>
      <c r="E71" s="1548"/>
      <c r="F71" s="967"/>
      <c r="G71" s="968"/>
      <c r="H71" s="968"/>
      <c r="I71" s="968"/>
      <c r="J71" s="968"/>
      <c r="K71" s="968"/>
      <c r="L71" s="969"/>
      <c r="M71" s="470">
        <v>0</v>
      </c>
      <c r="N71" s="303">
        <f>'Cost-Share'!U56</f>
        <v>0</v>
      </c>
      <c r="Q71" s="23"/>
      <c r="V71" s="23"/>
    </row>
    <row r="72" spans="1:22" ht="15" customHeight="1">
      <c r="A72" s="23"/>
      <c r="B72" s="1111" t="str">
        <f>'Bdgt Yr 1'!B72</f>
        <v>218105</v>
      </c>
      <c r="C72" s="1112">
        <f>'Bdgt Yr 1'!C81</f>
        <v>0</v>
      </c>
      <c r="D72" s="1539" t="s">
        <v>199</v>
      </c>
      <c r="E72" s="1548"/>
      <c r="F72" s="967"/>
      <c r="G72" s="968"/>
      <c r="H72" s="968"/>
      <c r="I72" s="968"/>
      <c r="J72" s="968"/>
      <c r="K72" s="968"/>
      <c r="L72" s="969"/>
      <c r="M72" s="61">
        <v>0</v>
      </c>
      <c r="N72" s="303">
        <f>'Cost-Share'!U57</f>
        <v>0</v>
      </c>
      <c r="Q72" s="23"/>
      <c r="V72" s="23"/>
    </row>
    <row r="73" spans="1:22" ht="15.75" customHeight="1" thickBot="1">
      <c r="A73" s="23"/>
      <c r="B73" s="1113"/>
      <c r="C73" s="1114"/>
      <c r="D73" s="1541" t="s">
        <v>200</v>
      </c>
      <c r="E73" s="1542"/>
      <c r="F73" s="967"/>
      <c r="G73" s="968"/>
      <c r="H73" s="968"/>
      <c r="I73" s="968"/>
      <c r="J73" s="968"/>
      <c r="K73" s="968"/>
      <c r="L73" s="969"/>
      <c r="M73" s="470">
        <v>0</v>
      </c>
      <c r="N73" s="303">
        <f>'Cost-Share'!U58</f>
        <v>0</v>
      </c>
      <c r="Q73" s="23"/>
      <c r="V73" s="23"/>
    </row>
    <row r="74" spans="1:22" ht="15" thickBot="1">
      <c r="A74" s="23"/>
      <c r="B74" s="990" t="s">
        <v>201</v>
      </c>
      <c r="C74" s="991"/>
      <c r="D74" s="991"/>
      <c r="E74" s="991"/>
      <c r="F74" s="991"/>
      <c r="G74" s="991"/>
      <c r="H74" s="991"/>
      <c r="I74" s="991"/>
      <c r="J74" s="991"/>
      <c r="K74" s="991"/>
      <c r="L74" s="1012"/>
      <c r="M74" s="342">
        <f>SUM(M70:M73)</f>
        <v>0</v>
      </c>
      <c r="N74" s="598">
        <f>SUM(N70:N73)</f>
        <v>0</v>
      </c>
      <c r="Q74" s="23"/>
      <c r="V74" s="23"/>
    </row>
    <row r="75" spans="1:22" ht="7.5" customHeight="1" thickBot="1">
      <c r="A75" s="23"/>
      <c r="B75" s="960"/>
      <c r="C75" s="960"/>
      <c r="D75" s="960"/>
      <c r="E75" s="960"/>
      <c r="F75" s="960"/>
      <c r="G75" s="960"/>
      <c r="H75" s="960"/>
      <c r="I75" s="960"/>
      <c r="J75" s="960"/>
      <c r="K75" s="960"/>
      <c r="L75" s="960"/>
      <c r="M75" s="960"/>
      <c r="Q75" s="23"/>
      <c r="V75" s="23"/>
    </row>
    <row r="76" spans="1:22">
      <c r="A76" s="23"/>
      <c r="B76" s="1535" t="s">
        <v>202</v>
      </c>
      <c r="C76" s="1536"/>
      <c r="D76" s="1536"/>
      <c r="E76" s="1536"/>
      <c r="F76" s="1101" t="s">
        <v>203</v>
      </c>
      <c r="G76" s="1101"/>
      <c r="H76" s="1101"/>
      <c r="I76" s="1101"/>
      <c r="J76" s="1101"/>
      <c r="K76" s="1101"/>
      <c r="L76" s="1101"/>
      <c r="M76" s="1101"/>
      <c r="N76" s="597" t="s">
        <v>185</v>
      </c>
      <c r="Q76" s="23"/>
      <c r="V76" s="23"/>
    </row>
    <row r="77" spans="1:22" ht="15" customHeight="1">
      <c r="A77" s="23"/>
      <c r="B77" s="1122" t="s">
        <v>204</v>
      </c>
      <c r="C77" s="1123">
        <f>'Bdgt Yr 1'!C86</f>
        <v>0</v>
      </c>
      <c r="D77" s="950" t="s">
        <v>205</v>
      </c>
      <c r="E77" s="951"/>
      <c r="F77" s="1124" t="str">
        <f>T('Bdgt Yr 1'!F77:K77)</f>
        <v/>
      </c>
      <c r="G77" s="1125"/>
      <c r="H77" s="1125"/>
      <c r="I77" s="1125"/>
      <c r="J77" s="1125"/>
      <c r="K77" s="1126"/>
      <c r="L77" s="515">
        <f>IF('Bdgt Yr 1'!M77+'Bdgt Yr 2'!M77&gt;=25000,MAX(25000-('Bdgt Yr 1'!M77),0), 'Bdgt Yr 2'!M77)</f>
        <v>0</v>
      </c>
      <c r="M77" s="469">
        <v>0</v>
      </c>
      <c r="N77" s="303">
        <f>'Cost-Share'!U62</f>
        <v>0</v>
      </c>
      <c r="Q77" s="23"/>
      <c r="V77" s="23"/>
    </row>
    <row r="78" spans="1:22" ht="15" customHeight="1">
      <c r="A78" s="23"/>
      <c r="B78" s="1120" t="s">
        <v>204</v>
      </c>
      <c r="C78" s="1121">
        <f>'Bdgt Yr 1'!C87</f>
        <v>0</v>
      </c>
      <c r="D78" s="952" t="s">
        <v>205</v>
      </c>
      <c r="E78" s="953"/>
      <c r="F78" s="1108" t="str">
        <f>T('Bdgt Yr 1'!F78:K78)</f>
        <v/>
      </c>
      <c r="G78" s="1109"/>
      <c r="H78" s="1109"/>
      <c r="I78" s="1109"/>
      <c r="J78" s="1109"/>
      <c r="K78" s="1110"/>
      <c r="L78" s="515">
        <f>IF('Bdgt Yr 1'!M78+'Bdgt Yr 2'!M78&gt;=25000,MAX(25000-('Bdgt Yr 1'!M78),0), 'Bdgt Yr 2'!M78)</f>
        <v>0</v>
      </c>
      <c r="M78" s="470">
        <v>0</v>
      </c>
      <c r="N78" s="303">
        <f>'Cost-Share'!U63</f>
        <v>0</v>
      </c>
      <c r="Q78" s="23"/>
      <c r="V78" s="23"/>
    </row>
    <row r="79" spans="1:22" ht="15" customHeight="1">
      <c r="A79" s="23"/>
      <c r="B79" s="1120" t="s">
        <v>204</v>
      </c>
      <c r="C79" s="1121">
        <f>'Bdgt Yr 1'!C88</f>
        <v>0</v>
      </c>
      <c r="D79" s="952" t="s">
        <v>205</v>
      </c>
      <c r="E79" s="953"/>
      <c r="F79" s="1108" t="str">
        <f>T('Bdgt Yr 1'!F79:K79)</f>
        <v/>
      </c>
      <c r="G79" s="1109"/>
      <c r="H79" s="1109"/>
      <c r="I79" s="1109"/>
      <c r="J79" s="1109"/>
      <c r="K79" s="1110"/>
      <c r="L79" s="515">
        <f>IF('Bdgt Yr 1'!M79+'Bdgt Yr 2'!M79&gt;=25000,MAX(25000-('Bdgt Yr 1'!M79),0), 'Bdgt Yr 2'!M79)</f>
        <v>0</v>
      </c>
      <c r="M79" s="61">
        <v>0</v>
      </c>
      <c r="N79" s="303">
        <f>'Cost-Share'!U64</f>
        <v>0</v>
      </c>
      <c r="Q79" s="23"/>
      <c r="V79" s="23"/>
    </row>
    <row r="80" spans="1:22" ht="15.75" customHeight="1" thickBot="1">
      <c r="A80" s="23"/>
      <c r="B80" s="1122" t="s">
        <v>204</v>
      </c>
      <c r="C80" s="1123">
        <f>'Bdgt Yr 1'!C89</f>
        <v>0</v>
      </c>
      <c r="D80" s="954" t="s">
        <v>205</v>
      </c>
      <c r="E80" s="955"/>
      <c r="F80" s="1006" t="str">
        <f>T('Bdgt Yr 1'!F80:K80)</f>
        <v/>
      </c>
      <c r="G80" s="1007"/>
      <c r="H80" s="1007"/>
      <c r="I80" s="1007"/>
      <c r="J80" s="1007"/>
      <c r="K80" s="1007"/>
      <c r="L80" s="515">
        <f>IF('Bdgt Yr 1'!M80+'Bdgt Yr 2'!M80&gt;=25000,MAX(25000-('Bdgt Yr 1'!M80),0), 'Bdgt Yr 2'!M80)</f>
        <v>0</v>
      </c>
      <c r="M80" s="470">
        <v>0</v>
      </c>
      <c r="N80" s="303">
        <f>'Cost-Share'!U65</f>
        <v>0</v>
      </c>
      <c r="Q80" s="23"/>
      <c r="V80" s="23"/>
    </row>
    <row r="81" spans="1:22" ht="15" thickBot="1">
      <c r="A81" s="23"/>
      <c r="B81" s="990" t="s">
        <v>206</v>
      </c>
      <c r="C81" s="991"/>
      <c r="D81" s="991"/>
      <c r="E81" s="991"/>
      <c r="F81" s="991"/>
      <c r="G81" s="991"/>
      <c r="H81" s="991"/>
      <c r="I81" s="991"/>
      <c r="J81" s="991"/>
      <c r="K81" s="1062"/>
      <c r="L81" s="614">
        <f>SUM(L77:L80)</f>
        <v>0</v>
      </c>
      <c r="M81" s="342">
        <f>SUM(M77:M80)</f>
        <v>0</v>
      </c>
      <c r="N81" s="598">
        <f>SUM(N77:N80)</f>
        <v>0</v>
      </c>
      <c r="Q81" s="23"/>
      <c r="V81" s="23"/>
    </row>
    <row r="82" spans="1:22" ht="7.5" customHeight="1" thickBot="1">
      <c r="A82" s="23"/>
      <c r="B82" s="960"/>
      <c r="C82" s="960"/>
      <c r="D82" s="960"/>
      <c r="E82" s="960"/>
      <c r="F82" s="960"/>
      <c r="G82" s="960"/>
      <c r="H82" s="960"/>
      <c r="I82" s="960"/>
      <c r="J82" s="960"/>
      <c r="K82" s="960"/>
      <c r="L82" s="960"/>
      <c r="M82" s="960"/>
      <c r="Q82" s="23"/>
      <c r="V82" s="23"/>
    </row>
    <row r="83" spans="1:22">
      <c r="A83" s="23"/>
      <c r="B83" s="1535" t="s">
        <v>207</v>
      </c>
      <c r="C83" s="1536"/>
      <c r="D83" s="1536"/>
      <c r="E83" s="1536"/>
      <c r="F83" s="962" t="s">
        <v>191</v>
      </c>
      <c r="G83" s="962"/>
      <c r="H83" s="962"/>
      <c r="I83" s="962"/>
      <c r="J83" s="962"/>
      <c r="K83" s="962"/>
      <c r="L83" s="962"/>
      <c r="M83" s="962"/>
      <c r="N83" s="597" t="s">
        <v>185</v>
      </c>
      <c r="Q83" s="23"/>
      <c r="V83" s="23"/>
    </row>
    <row r="84" spans="1:22" ht="15" customHeight="1">
      <c r="A84" s="23"/>
      <c r="B84" s="1111" t="str">
        <f>'Bdgt Yr 1'!B84</f>
        <v>271410</v>
      </c>
      <c r="C84" s="1112">
        <f>'Bdgt Yr 1'!C109</f>
        <v>0</v>
      </c>
      <c r="D84" s="1537" t="s">
        <v>208</v>
      </c>
      <c r="E84" s="1547"/>
      <c r="F84" s="1015"/>
      <c r="G84" s="1016"/>
      <c r="H84" s="1016"/>
      <c r="I84" s="1016"/>
      <c r="J84" s="1016"/>
      <c r="K84" s="1016"/>
      <c r="L84" s="1017"/>
      <c r="M84" s="469">
        <v>0</v>
      </c>
      <c r="N84" s="303">
        <f>'Cost-Share'!U69</f>
        <v>0</v>
      </c>
      <c r="Q84" s="23"/>
      <c r="V84" s="23"/>
    </row>
    <row r="85" spans="1:22" ht="15.75" customHeight="1" thickBot="1">
      <c r="A85" s="23"/>
      <c r="B85" s="1111" t="str">
        <f>'Bdgt Yr 1'!B85</f>
        <v>271933</v>
      </c>
      <c r="C85" s="1112">
        <f>'Bdgt Yr 1'!C110</f>
        <v>0</v>
      </c>
      <c r="D85" s="1541" t="s">
        <v>210</v>
      </c>
      <c r="E85" s="1542"/>
      <c r="F85" s="967"/>
      <c r="G85" s="968"/>
      <c r="H85" s="968"/>
      <c r="I85" s="968"/>
      <c r="J85" s="968"/>
      <c r="K85" s="968"/>
      <c r="L85" s="969"/>
      <c r="M85" s="61">
        <v>0</v>
      </c>
      <c r="N85" s="599">
        <f>'Cost-Share'!U70</f>
        <v>0</v>
      </c>
      <c r="Q85" s="23"/>
      <c r="V85" s="23"/>
    </row>
    <row r="86" spans="1:22" ht="15" thickBot="1">
      <c r="A86" s="23"/>
      <c r="B86" s="990" t="s">
        <v>211</v>
      </c>
      <c r="C86" s="991"/>
      <c r="D86" s="991"/>
      <c r="E86" s="991"/>
      <c r="F86" s="991"/>
      <c r="G86" s="991"/>
      <c r="H86" s="991"/>
      <c r="I86" s="991"/>
      <c r="J86" s="991"/>
      <c r="K86" s="991"/>
      <c r="L86" s="1011"/>
      <c r="M86" s="341">
        <f>SUM(M84:M85)</f>
        <v>0</v>
      </c>
      <c r="N86" s="596">
        <f>SUM(N84:N85)</f>
        <v>0</v>
      </c>
      <c r="Q86" s="23"/>
      <c r="V86" s="23"/>
    </row>
    <row r="87" spans="1:22" ht="7.5" customHeight="1" thickBot="1">
      <c r="A87" s="23"/>
      <c r="B87" s="960"/>
      <c r="C87" s="960"/>
      <c r="D87" s="960"/>
      <c r="E87" s="960"/>
      <c r="F87" s="960"/>
      <c r="G87" s="960"/>
      <c r="H87" s="960"/>
      <c r="I87" s="960"/>
      <c r="J87" s="960"/>
      <c r="K87" s="960"/>
      <c r="L87" s="960"/>
      <c r="M87" s="960"/>
      <c r="Q87" s="23"/>
      <c r="V87" s="23"/>
    </row>
    <row r="88" spans="1:22">
      <c r="A88" s="23"/>
      <c r="B88" s="1050" t="s">
        <v>212</v>
      </c>
      <c r="C88" s="989"/>
      <c r="D88" s="989"/>
      <c r="E88" s="989"/>
      <c r="F88" s="962" t="s">
        <v>191</v>
      </c>
      <c r="G88" s="962"/>
      <c r="H88" s="962"/>
      <c r="I88" s="962"/>
      <c r="J88" s="962"/>
      <c r="K88" s="962"/>
      <c r="L88" s="962"/>
      <c r="M88" s="962"/>
      <c r="N88" s="597" t="s">
        <v>185</v>
      </c>
      <c r="Q88" s="23"/>
      <c r="V88" s="23"/>
    </row>
    <row r="89" spans="1:22" ht="15" customHeight="1">
      <c r="A89" s="23"/>
      <c r="B89" s="972" t="str">
        <f>'Bdgt Yr 1'!B89</f>
        <v>3000BP</v>
      </c>
      <c r="C89" s="973"/>
      <c r="D89" s="956" t="str">
        <f>IF(ISERROR(VLOOKUP(B89,Constants!$X$2:AA$473,1,FALSE)),"No Match",VLOOKUP('Bdgt Yr 1'!B89,Constants!$X$2:$AA$473,4,FALSE))</f>
        <v>Materials and Supplies</v>
      </c>
      <c r="E89" s="957"/>
      <c r="F89" s="967"/>
      <c r="G89" s="968"/>
      <c r="H89" s="968"/>
      <c r="I89" s="968"/>
      <c r="J89" s="968"/>
      <c r="K89" s="968"/>
      <c r="L89" s="969"/>
      <c r="M89" s="516">
        <v>0</v>
      </c>
      <c r="N89" s="303">
        <f>'Cost-Share'!U74</f>
        <v>0</v>
      </c>
      <c r="Q89" s="23"/>
      <c r="V89" s="23"/>
    </row>
    <row r="90" spans="1:22" ht="15" customHeight="1">
      <c r="A90" s="23"/>
      <c r="B90" s="970">
        <f>'Bdgt Yr 1'!B90</f>
        <v>583010</v>
      </c>
      <c r="C90" s="971"/>
      <c r="D90" s="948" t="str">
        <f>IF(ISERROR(VLOOKUP(B90,Constants!$X$2:AA$473,1,FALSE)),"No Match",VLOOKUP('Bdgt Yr 1'!B90,Constants!$X$2:$AA$473,4,FALSE))</f>
        <v>Subscriptions and Publication Costs</v>
      </c>
      <c r="E90" s="949"/>
      <c r="F90" s="967"/>
      <c r="G90" s="968"/>
      <c r="H90" s="968"/>
      <c r="I90" s="968"/>
      <c r="J90" s="968"/>
      <c r="K90" s="968"/>
      <c r="L90" s="969"/>
      <c r="M90" s="516">
        <v>0</v>
      </c>
      <c r="N90" s="303">
        <f>'Cost-Share'!U75</f>
        <v>0</v>
      </c>
      <c r="Q90" s="23"/>
      <c r="V90" s="23"/>
    </row>
    <row r="91" spans="1:22" ht="15" customHeight="1">
      <c r="A91" s="23"/>
      <c r="B91" s="970">
        <f>'Bdgt Yr 1'!B91</f>
        <v>311010</v>
      </c>
      <c r="C91" s="971"/>
      <c r="D91" s="948" t="str">
        <f>IF(ISERROR(VLOOKUP(B91,Constants!$X$2:AA$473,1,FALSE)),"No Match",VLOOKUP('Bdgt Yr 1'!B91,Constants!$X$2:$AA$473,4,FALSE))</f>
        <v xml:space="preserve">Office Supplies     </v>
      </c>
      <c r="E91" s="949"/>
      <c r="F91" s="967"/>
      <c r="G91" s="968"/>
      <c r="H91" s="968"/>
      <c r="I91" s="968"/>
      <c r="J91" s="968"/>
      <c r="K91" s="968"/>
      <c r="L91" s="969"/>
      <c r="M91" s="516">
        <v>0</v>
      </c>
      <c r="N91" s="303">
        <f>'Cost-Share'!U76</f>
        <v>0</v>
      </c>
      <c r="Q91" s="23"/>
      <c r="V91" s="23"/>
    </row>
    <row r="92" spans="1:22" ht="15" customHeight="1">
      <c r="A92" s="23"/>
      <c r="B92" s="970">
        <f>'Bdgt Yr 1'!B92</f>
        <v>293054</v>
      </c>
      <c r="C92" s="971"/>
      <c r="D92" s="948" t="str">
        <f>IF(ISERROR(VLOOKUP(B92,Constants!$X$2:AA$473,1,FALSE)),"No Match",VLOOKUP('Bdgt Yr 1'!B92,Constants!$X$2:$AA$473,4,FALSE))</f>
        <v>Registration Fees</v>
      </c>
      <c r="E92" s="949"/>
      <c r="F92" s="967"/>
      <c r="G92" s="968"/>
      <c r="H92" s="968"/>
      <c r="I92" s="968"/>
      <c r="J92" s="968"/>
      <c r="K92" s="968"/>
      <c r="L92" s="969"/>
      <c r="M92" s="516">
        <v>0</v>
      </c>
      <c r="N92" s="303">
        <f>'Cost-Share'!U77</f>
        <v>0</v>
      </c>
      <c r="Q92" s="23"/>
      <c r="V92" s="23"/>
    </row>
    <row r="93" spans="1:22" ht="15" customHeight="1">
      <c r="A93" s="23"/>
      <c r="B93" s="970">
        <f>'Bdgt Yr 1'!B93</f>
        <v>281120</v>
      </c>
      <c r="C93" s="971"/>
      <c r="D93" s="948" t="str">
        <f>IF(ISERROR(VLOOKUP(B93,Constants!$X$2:AA$473,1,FALSE)),"No Match",VLOOKUP('Bdgt Yr 1'!B93,Constants!$X$2:$AA$473,4,FALSE))</f>
        <v>Telephone Services</v>
      </c>
      <c r="E93" s="949"/>
      <c r="F93" s="967"/>
      <c r="G93" s="968"/>
      <c r="H93" s="968"/>
      <c r="I93" s="968"/>
      <c r="J93" s="968"/>
      <c r="K93" s="968"/>
      <c r="L93" s="969"/>
      <c r="M93" s="516">
        <v>0</v>
      </c>
      <c r="N93" s="303">
        <f>'Cost-Share'!U78</f>
        <v>0</v>
      </c>
      <c r="Q93" s="23"/>
      <c r="V93" s="23"/>
    </row>
    <row r="94" spans="1:22" ht="15" customHeight="1">
      <c r="A94" s="23"/>
      <c r="B94" s="970" t="str">
        <f>'Bdgt Yr 1'!B94</f>
        <v>2100BP</v>
      </c>
      <c r="C94" s="971"/>
      <c r="D94" s="948" t="str">
        <f>IF(ISERROR(VLOOKUP(B94,Constants!$X$2:AA$473,1,FALSE)),"No Match",VLOOKUP('Bdgt Yr 1'!B94,Constants!$X$2:$AA$473,4,FALSE))</f>
        <v>Contracted Services Pool</v>
      </c>
      <c r="E94" s="949"/>
      <c r="F94" s="967"/>
      <c r="G94" s="968"/>
      <c r="H94" s="968"/>
      <c r="I94" s="968"/>
      <c r="J94" s="968"/>
      <c r="K94" s="968"/>
      <c r="L94" s="969"/>
      <c r="M94" s="516">
        <v>0</v>
      </c>
      <c r="N94" s="303">
        <f>'Cost-Share'!U79</f>
        <v>0</v>
      </c>
      <c r="Q94" s="23"/>
      <c r="V94" s="23"/>
    </row>
    <row r="95" spans="1:22" ht="15" customHeight="1">
      <c r="A95" s="23"/>
      <c r="B95" s="970">
        <f>'Bdgt Yr 1'!B95</f>
        <v>219250</v>
      </c>
      <c r="C95" s="971"/>
      <c r="D95" s="948" t="str">
        <f>IF(ISERROR(VLOOKUP(B95,Constants!$X$2:AA$473,1,FALSE)),"No Match",VLOOKUP('Bdgt Yr 1'!B95,Constants!$X$2:$AA$473,4,FALSE))</f>
        <v xml:space="preserve">Honorariums         </v>
      </c>
      <c r="E95" s="949"/>
      <c r="F95" s="967"/>
      <c r="G95" s="968"/>
      <c r="H95" s="968"/>
      <c r="I95" s="968"/>
      <c r="J95" s="968"/>
      <c r="K95" s="968"/>
      <c r="L95" s="969"/>
      <c r="M95" s="516">
        <v>0</v>
      </c>
      <c r="N95" s="303">
        <f>'Cost-Share'!U80</f>
        <v>0</v>
      </c>
      <c r="Q95" s="23"/>
      <c r="V95" s="23"/>
    </row>
    <row r="96" spans="1:22" ht="15" customHeight="1">
      <c r="A96" s="23"/>
      <c r="B96" s="970">
        <f>'Bdgt Yr 1'!B96</f>
        <v>286010</v>
      </c>
      <c r="C96" s="971"/>
      <c r="D96" s="948" t="str">
        <f>IF(ISERROR(VLOOKUP(B96,Constants!$X$2:AA$473,1,FALSE)),"No Match",VLOOKUP('Bdgt Yr 1'!B96,Constants!$X$2:$AA$473,4,FALSE))</f>
        <v>Advertising</v>
      </c>
      <c r="E96" s="949"/>
      <c r="F96" s="967"/>
      <c r="G96" s="968"/>
      <c r="H96" s="968"/>
      <c r="I96" s="968"/>
      <c r="J96" s="968"/>
      <c r="K96" s="968"/>
      <c r="L96" s="969"/>
      <c r="M96" s="516">
        <v>0</v>
      </c>
      <c r="N96" s="303">
        <f>'Cost-Share'!U81</f>
        <v>0</v>
      </c>
      <c r="Q96" s="23"/>
      <c r="V96" s="23"/>
    </row>
    <row r="97" spans="1:22" ht="15" customHeight="1">
      <c r="A97" s="23"/>
      <c r="B97" s="970">
        <f>'Bdgt Yr 1'!B97</f>
        <v>282610</v>
      </c>
      <c r="C97" s="971"/>
      <c r="D97" s="948" t="str">
        <f>IF(ISERROR(VLOOKUP(B97,Constants!$X$2:AA$473,1,FALSE)),"No Match",VLOOKUP('Bdgt Yr 1'!B97,Constants!$X$2:$AA$473,4,FALSE))</f>
        <v>Software Subscriptions</v>
      </c>
      <c r="E97" s="949"/>
      <c r="F97" s="967"/>
      <c r="G97" s="968"/>
      <c r="H97" s="968"/>
      <c r="I97" s="968"/>
      <c r="J97" s="968"/>
      <c r="K97" s="968"/>
      <c r="L97" s="969"/>
      <c r="M97" s="516">
        <v>0</v>
      </c>
      <c r="N97" s="303">
        <f>'Cost-Share'!U82</f>
        <v>0</v>
      </c>
      <c r="Q97" s="23"/>
      <c r="V97" s="23"/>
    </row>
    <row r="98" spans="1:22" ht="15" customHeight="1">
      <c r="A98" s="23"/>
      <c r="B98" s="970">
        <f>'Bdgt Yr 1'!B98</f>
        <v>583020</v>
      </c>
      <c r="C98" s="971"/>
      <c r="D98" s="948" t="str">
        <f>IF(ISERROR(VLOOKUP(B98,Constants!$X$2:AA$473,1,FALSE)),"No Match",VLOOKUP('Bdgt Yr 1'!B98,Constants!$X$2:$AA$473,4,FALSE))</f>
        <v>Membership Dues</v>
      </c>
      <c r="E98" s="949"/>
      <c r="F98" s="967"/>
      <c r="G98" s="968"/>
      <c r="H98" s="968"/>
      <c r="I98" s="968"/>
      <c r="J98" s="968"/>
      <c r="K98" s="968"/>
      <c r="L98" s="969"/>
      <c r="M98" s="516">
        <v>0</v>
      </c>
      <c r="N98" s="303">
        <f>'Cost-Share'!U83</f>
        <v>0</v>
      </c>
      <c r="Q98" s="23"/>
      <c r="V98" s="23"/>
    </row>
    <row r="99" spans="1:22" ht="15" customHeight="1">
      <c r="A99" s="23"/>
      <c r="B99" s="970">
        <f>'Bdgt Yr 1'!B99</f>
        <v>284010</v>
      </c>
      <c r="C99" s="971"/>
      <c r="D99" s="948" t="str">
        <f>IF(ISERROR(VLOOKUP(B99,Constants!$X$2:AA$473,1,FALSE)),"No Match",VLOOKUP('Bdgt Yr 1'!B99,Constants!$X$2:$AA$473,4,FALSE))</f>
        <v>Postage</v>
      </c>
      <c r="E99" s="949"/>
      <c r="F99" s="967"/>
      <c r="G99" s="968"/>
      <c r="H99" s="968"/>
      <c r="I99" s="968"/>
      <c r="J99" s="968"/>
      <c r="K99" s="968"/>
      <c r="L99" s="969"/>
      <c r="M99" s="516">
        <v>0</v>
      </c>
      <c r="N99" s="303">
        <f>'Cost-Share'!U84</f>
        <v>0</v>
      </c>
      <c r="Q99" s="23"/>
      <c r="V99" s="23"/>
    </row>
    <row r="100" spans="1:22" ht="15" customHeight="1">
      <c r="A100" s="23"/>
      <c r="B100" s="970">
        <f>'Bdgt Yr 1'!B100</f>
        <v>284040</v>
      </c>
      <c r="C100" s="971"/>
      <c r="D100" s="948" t="str">
        <f>IF(ISERROR(VLOOKUP(B100,Constants!$X$2:AA$473,1,FALSE)),"No Match",VLOOKUP('Bdgt Yr 1'!B100,Constants!$X$2:$AA$473,4,FALSE))</f>
        <v>Freight/Delivery Services</v>
      </c>
      <c r="E100" s="949"/>
      <c r="F100" s="967"/>
      <c r="G100" s="968"/>
      <c r="H100" s="968"/>
      <c r="I100" s="968"/>
      <c r="J100" s="968"/>
      <c r="K100" s="968"/>
      <c r="L100" s="969"/>
      <c r="M100" s="516">
        <v>0</v>
      </c>
      <c r="N100" s="303">
        <f>'Cost-Share'!U85</f>
        <v>0</v>
      </c>
      <c r="Q100" s="23"/>
      <c r="V100" s="23"/>
    </row>
    <row r="101" spans="1:22" ht="15" customHeight="1">
      <c r="A101" s="23"/>
      <c r="B101" s="970">
        <f>'Bdgt Yr 1'!B101</f>
        <v>285010</v>
      </c>
      <c r="C101" s="971"/>
      <c r="D101" s="948" t="str">
        <f>IF(ISERROR(VLOOKUP(B101,Constants!$X$2:AA$473,1,FALSE)),"No Match",VLOOKUP('Bdgt Yr 1'!B101,Constants!$X$2:$AA$473,4,FALSE))</f>
        <v>Printing And Binding</v>
      </c>
      <c r="E101" s="949"/>
      <c r="F101" s="967"/>
      <c r="G101" s="968"/>
      <c r="H101" s="968"/>
      <c r="I101" s="968"/>
      <c r="J101" s="968"/>
      <c r="K101" s="968"/>
      <c r="L101" s="969"/>
      <c r="M101" s="516">
        <v>0</v>
      </c>
      <c r="N101" s="303">
        <f>'Cost-Share'!U86</f>
        <v>0</v>
      </c>
      <c r="Q101" s="23"/>
      <c r="V101" s="23"/>
    </row>
    <row r="102" spans="1:22" ht="15" customHeight="1">
      <c r="A102" s="23"/>
      <c r="B102" s="970">
        <f>'Bdgt Yr 1'!B102</f>
        <v>453410</v>
      </c>
      <c r="C102" s="971"/>
      <c r="D102" s="948" t="str">
        <f>IF(ISERROR(VLOOKUP(B102,Constants!$X$2:AA$473,1,FALSE)),"No Match",VLOOKUP('Bdgt Yr 1'!B102,Constants!$X$2:$AA$473,4,FALSE))</f>
        <v>Computer &amp; Printer Purchase Less Than $5,000 - Add $130/Year/Device for IT Services</v>
      </c>
      <c r="E102" s="949"/>
      <c r="F102" s="967"/>
      <c r="G102" s="968"/>
      <c r="H102" s="968"/>
      <c r="I102" s="968"/>
      <c r="J102" s="968"/>
      <c r="K102" s="968"/>
      <c r="L102" s="969"/>
      <c r="M102" s="516">
        <v>0</v>
      </c>
      <c r="N102" s="303">
        <f>'Cost-Share'!U87</f>
        <v>0</v>
      </c>
      <c r="Q102" s="23"/>
      <c r="V102" s="23"/>
    </row>
    <row r="103" spans="1:22" ht="15" customHeight="1">
      <c r="A103" s="23"/>
      <c r="B103" s="970">
        <f>'Bdgt Yr 1'!B103</f>
        <v>471310</v>
      </c>
      <c r="C103" s="971"/>
      <c r="D103" s="1549" t="str">
        <f>IF(ISERROR(VLOOKUP(B103,Constants!$X$2:AA$473,1,FALSE)),"No Match",VLOOKUP('Bdgt Yr 1'!B103,Constants!$X$2:$AA$473,4,FALSE))</f>
        <v>PC Software Purchase</v>
      </c>
      <c r="E103" s="1550"/>
      <c r="F103" s="967"/>
      <c r="G103" s="968"/>
      <c r="H103" s="968"/>
      <c r="I103" s="968"/>
      <c r="J103" s="968"/>
      <c r="K103" s="968"/>
      <c r="L103" s="969"/>
      <c r="M103" s="516">
        <v>0</v>
      </c>
      <c r="N103" s="303">
        <f>'Cost-Share'!U88</f>
        <v>0</v>
      </c>
      <c r="Q103" s="23"/>
      <c r="V103" s="23"/>
    </row>
    <row r="104" spans="1:22" ht="15" customHeight="1">
      <c r="A104" s="23"/>
      <c r="B104" s="970">
        <f>'Bdgt Yr 1'!B104</f>
        <v>218105</v>
      </c>
      <c r="C104" s="971"/>
      <c r="D104" s="1549" t="str">
        <f>IF(ISERROR(VLOOKUP(B104,Constants!$X$2:AA$473,1,FALSE)),"No Match",VLOOKUP('Bdgt Yr 1'!B104,Constants!$X$2:$AA$473,4,FALSE))</f>
        <v>Contract Food Services</v>
      </c>
      <c r="E104" s="1550"/>
      <c r="F104" s="967"/>
      <c r="G104" s="968"/>
      <c r="H104" s="968"/>
      <c r="I104" s="968"/>
      <c r="J104" s="968"/>
      <c r="K104" s="968"/>
      <c r="L104" s="969"/>
      <c r="M104" s="516">
        <v>0</v>
      </c>
      <c r="N104" s="303">
        <f>'Cost-Share'!U89</f>
        <v>0</v>
      </c>
      <c r="Q104" s="23"/>
      <c r="V104" s="23"/>
    </row>
    <row r="105" spans="1:22" ht="15" customHeight="1">
      <c r="A105" s="23"/>
      <c r="B105" s="970">
        <f>'Bdgt Yr 1'!B105</f>
        <v>218106</v>
      </c>
      <c r="C105" s="971"/>
      <c r="D105" s="1549" t="str">
        <f>IF(ISERROR(VLOOKUP(B105,Constants!$X$2:AA$473,1,FALSE)),"No Match",VLOOKUP('Bdgt Yr 1'!B105,Constants!$X$2:$AA$473,4,FALSE))</f>
        <v>Food Services for Conferences</v>
      </c>
      <c r="E105" s="1550"/>
      <c r="F105" s="967"/>
      <c r="G105" s="968"/>
      <c r="H105" s="968"/>
      <c r="I105" s="968"/>
      <c r="J105" s="968"/>
      <c r="K105" s="968"/>
      <c r="L105" s="969"/>
      <c r="M105" s="516">
        <v>0</v>
      </c>
      <c r="N105" s="303">
        <f>'Cost-Share'!U90</f>
        <v>0</v>
      </c>
      <c r="Q105" s="23"/>
      <c r="V105" s="23"/>
    </row>
    <row r="106" spans="1:22" ht="15" customHeight="1">
      <c r="A106" s="23"/>
      <c r="B106" s="970">
        <f>'Bdgt Yr 1'!B106</f>
        <v>341010</v>
      </c>
      <c r="C106" s="971"/>
      <c r="D106" s="1549" t="str">
        <f>IF(ISERROR(VLOOKUP(B106,Constants!$X$2:AA$473,1,FALSE)),"No Match",VLOOKUP('Bdgt Yr 1'!B106,Constants!$X$2:$AA$473,4,FALSE))</f>
        <v xml:space="preserve">Purchase of Food Products       </v>
      </c>
      <c r="E106" s="1550"/>
      <c r="F106" s="967"/>
      <c r="G106" s="968"/>
      <c r="H106" s="968"/>
      <c r="I106" s="968"/>
      <c r="J106" s="968"/>
      <c r="K106" s="968"/>
      <c r="L106" s="969"/>
      <c r="M106" s="516">
        <v>0</v>
      </c>
      <c r="N106" s="303">
        <f>'Cost-Share'!U91</f>
        <v>0</v>
      </c>
      <c r="Q106" s="23"/>
      <c r="V106" s="23"/>
    </row>
    <row r="107" spans="1:22" ht="15" customHeight="1">
      <c r="A107" s="23"/>
      <c r="B107" s="970">
        <f>'Bdgt Yr 1'!B107</f>
        <v>251210</v>
      </c>
      <c r="C107" s="971"/>
      <c r="D107" s="1549" t="str">
        <f>IF(ISERROR(VLOOKUP(B107,Constants!$X$2:AA$473,1,FALSE)),"No Match",VLOOKUP('Bdgt Yr 1'!B107,Constants!$X$2:$AA$473,4,FALSE))</f>
        <v>Rent/Lease Building/Office Space</v>
      </c>
      <c r="E107" s="1550"/>
      <c r="F107" s="967"/>
      <c r="G107" s="968"/>
      <c r="H107" s="968"/>
      <c r="I107" s="968"/>
      <c r="J107" s="968"/>
      <c r="K107" s="968"/>
      <c r="L107" s="969"/>
      <c r="M107" s="516">
        <v>0</v>
      </c>
      <c r="N107" s="303">
        <f>'Cost-Share'!U92</f>
        <v>0</v>
      </c>
      <c r="Q107" s="23"/>
      <c r="V107" s="23"/>
    </row>
    <row r="108" spans="1:22" ht="15" customHeight="1">
      <c r="A108" s="23"/>
      <c r="B108" s="970">
        <f>'Bdgt Yr 1'!B108</f>
        <v>251310</v>
      </c>
      <c r="C108" s="971"/>
      <c r="D108" s="1549" t="str">
        <f>IF(ISERROR(VLOOKUP(B108,Constants!$X$2:AA$473,1,FALSE)),"No Match",VLOOKUP('Bdgt Yr 1'!B108,Constants!$X$2:$AA$473,4,FALSE))</f>
        <v>Rent/Lease Other Facilities</v>
      </c>
      <c r="E108" s="1550"/>
      <c r="F108" s="967"/>
      <c r="G108" s="968"/>
      <c r="H108" s="968"/>
      <c r="I108" s="968"/>
      <c r="J108" s="968"/>
      <c r="K108" s="968"/>
      <c r="L108" s="969"/>
      <c r="M108" s="516">
        <v>0</v>
      </c>
      <c r="N108" s="303">
        <f>'Cost-Share'!U93</f>
        <v>0</v>
      </c>
      <c r="Q108" s="23"/>
      <c r="V108" s="23"/>
    </row>
    <row r="109" spans="1:22" ht="15" customHeight="1">
      <c r="A109" s="23"/>
      <c r="B109" s="970">
        <f>'Bdgt Yr 1'!B109</f>
        <v>251320</v>
      </c>
      <c r="C109" s="971"/>
      <c r="D109" s="1549" t="str">
        <f>IF(ISERROR(VLOOKUP(B109,Constants!$X$2:AA$473,1,FALSE)),"No Match",VLOOKUP('Bdgt Yr 1'!B109,Constants!$X$2:$AA$473,4,FALSE))</f>
        <v>Room Rental for Conferences</v>
      </c>
      <c r="E109" s="1550"/>
      <c r="F109" s="967"/>
      <c r="G109" s="968"/>
      <c r="H109" s="968"/>
      <c r="I109" s="968"/>
      <c r="J109" s="968"/>
      <c r="K109" s="968"/>
      <c r="L109" s="969"/>
      <c r="M109" s="516">
        <v>0</v>
      </c>
      <c r="N109" s="303">
        <f>'Cost-Share'!U94</f>
        <v>0</v>
      </c>
      <c r="Q109" s="23"/>
      <c r="V109" s="23"/>
    </row>
    <row r="110" spans="1:22" ht="15" customHeight="1">
      <c r="A110" s="23"/>
      <c r="B110" s="970">
        <f>'Bdgt Yr 1'!B110</f>
        <v>252110</v>
      </c>
      <c r="C110" s="971"/>
      <c r="D110" s="1549" t="str">
        <f>IF(ISERROR(VLOOKUP(B110,Constants!$X$2:AA$473,1,FALSE)),"No Match",VLOOKUP('Bdgt Yr 1'!B110,Constants!$X$2:$AA$473,4,FALSE))</f>
        <v>Rent/Lease Motor Vehicle</v>
      </c>
      <c r="E110" s="1550"/>
      <c r="F110" s="967"/>
      <c r="G110" s="968"/>
      <c r="H110" s="968"/>
      <c r="I110" s="968"/>
      <c r="J110" s="968"/>
      <c r="K110" s="968"/>
      <c r="L110" s="969"/>
      <c r="M110" s="516">
        <v>0</v>
      </c>
      <c r="N110" s="303">
        <f>'Cost-Share'!U95</f>
        <v>0</v>
      </c>
      <c r="Q110" s="23"/>
      <c r="V110" s="23"/>
    </row>
    <row r="111" spans="1:22" ht="15" customHeight="1">
      <c r="A111" s="23"/>
      <c r="B111" s="970">
        <f>'Bdgt Yr 1'!B111</f>
        <v>219912</v>
      </c>
      <c r="C111" s="971"/>
      <c r="D111" s="1549" t="str">
        <f>IF(ISERROR(VLOOKUP(B111,Constants!$X$2:AA$473,1,FALSE)),"No Match",VLOOKUP('Bdgt Yr 1'!B111,Constants!$X$2:$AA$473,4,FALSE))</f>
        <v>Research Participant Payments/Incentives</v>
      </c>
      <c r="E111" s="1550"/>
      <c r="F111" s="967"/>
      <c r="G111" s="968"/>
      <c r="H111" s="968"/>
      <c r="I111" s="968"/>
      <c r="J111" s="968"/>
      <c r="K111" s="968"/>
      <c r="L111" s="969"/>
      <c r="M111" s="516">
        <v>0</v>
      </c>
      <c r="N111" s="303">
        <f>'Cost-Share'!U96</f>
        <v>0</v>
      </c>
      <c r="Q111" s="23"/>
      <c r="V111" s="23"/>
    </row>
    <row r="112" spans="1:22" ht="15.75" customHeight="1" thickBot="1">
      <c r="A112" s="23"/>
      <c r="B112" s="970">
        <f>'Bdgt Yr 1'!B112</f>
        <v>584037</v>
      </c>
      <c r="C112" s="971"/>
      <c r="D112" s="1551" t="str">
        <f>IF(ISERROR(VLOOKUP(B112,Constants!$X$2:AA$473,1,FALSE)),"No Match",VLOOKUP('Bdgt Yr 1'!B112,Constants!$X$2:$AA$473,4,FALSE))</f>
        <v>Gift Cards--NON Employee Only</v>
      </c>
      <c r="E112" s="1552"/>
      <c r="F112" s="967"/>
      <c r="G112" s="968"/>
      <c r="H112" s="968"/>
      <c r="I112" s="968"/>
      <c r="J112" s="968"/>
      <c r="K112" s="968"/>
      <c r="L112" s="969"/>
      <c r="M112" s="142">
        <v>0</v>
      </c>
      <c r="N112" s="303">
        <f>'Cost-Share'!U97</f>
        <v>0</v>
      </c>
      <c r="Q112" s="23"/>
      <c r="R112" s="480"/>
      <c r="S112" s="480"/>
      <c r="T112" s="480"/>
      <c r="U112" s="480"/>
      <c r="V112" s="23"/>
    </row>
    <row r="113" spans="1:22" ht="15" thickBot="1">
      <c r="A113" s="23"/>
      <c r="B113" s="1553" t="s">
        <v>215</v>
      </c>
      <c r="C113" s="1554"/>
      <c r="D113" s="1554"/>
      <c r="E113" s="1554"/>
      <c r="F113" s="1554"/>
      <c r="G113" s="1554"/>
      <c r="H113" s="1554"/>
      <c r="I113" s="1554"/>
      <c r="J113" s="1554"/>
      <c r="K113" s="1554"/>
      <c r="L113" s="1555"/>
      <c r="M113" s="236">
        <f>SUM(M89:M112)</f>
        <v>0</v>
      </c>
      <c r="N113" s="273">
        <f>SUM(N89:N112)</f>
        <v>0</v>
      </c>
      <c r="Q113" s="23"/>
      <c r="R113" s="480"/>
      <c r="S113" s="480"/>
      <c r="T113" s="480"/>
      <c r="U113" s="480"/>
      <c r="V113" s="23"/>
    </row>
    <row r="114" spans="1:22" ht="7.5" customHeight="1" thickBot="1">
      <c r="A114" s="23"/>
      <c r="B114" s="960"/>
      <c r="C114" s="960"/>
      <c r="D114" s="960"/>
      <c r="E114" s="960"/>
      <c r="F114" s="960"/>
      <c r="G114" s="960"/>
      <c r="H114" s="960"/>
      <c r="I114" s="960"/>
      <c r="J114" s="960"/>
      <c r="K114" s="960"/>
      <c r="L114" s="960"/>
      <c r="M114" s="960"/>
      <c r="Q114" s="23"/>
      <c r="V114" s="23"/>
    </row>
    <row r="115" spans="1:22" ht="15" thickBot="1">
      <c r="A115" s="23"/>
      <c r="B115" s="996" t="s">
        <v>216</v>
      </c>
      <c r="C115" s="997"/>
      <c r="D115" s="997"/>
      <c r="E115" s="997"/>
      <c r="F115" s="997"/>
      <c r="G115" s="997"/>
      <c r="H115" s="997"/>
      <c r="I115" s="997"/>
      <c r="J115" s="997"/>
      <c r="K115" s="997"/>
      <c r="L115" s="1018"/>
      <c r="M115" s="236">
        <f>+M54+M67+M86+M74+M113+M62+M81</f>
        <v>0</v>
      </c>
      <c r="N115" s="304">
        <f>'Cost-Share'!U100</f>
        <v>0</v>
      </c>
      <c r="Q115" s="23"/>
      <c r="R115" s="480"/>
      <c r="S115" s="480"/>
      <c r="T115" s="480"/>
      <c r="U115" s="480"/>
      <c r="V115" s="23"/>
    </row>
    <row r="116" spans="1:22" ht="7.5" customHeight="1" thickBot="1">
      <c r="A116" s="23"/>
      <c r="B116" s="960"/>
      <c r="C116" s="960"/>
      <c r="D116" s="960"/>
      <c r="E116" s="960"/>
      <c r="F116" s="960"/>
      <c r="G116" s="960"/>
      <c r="H116" s="960"/>
      <c r="I116" s="960"/>
      <c r="J116" s="960"/>
      <c r="K116" s="960"/>
      <c r="L116" s="960"/>
      <c r="M116" s="960"/>
      <c r="Q116" s="23"/>
      <c r="V116" s="23"/>
    </row>
    <row r="117" spans="1:22" ht="15" thickBot="1">
      <c r="A117" s="23"/>
      <c r="B117" s="1055" t="s">
        <v>217</v>
      </c>
      <c r="C117" s="1056"/>
      <c r="D117" s="1056"/>
      <c r="E117" s="1056"/>
      <c r="F117" s="1056"/>
      <c r="G117" s="1056"/>
      <c r="H117" s="1056"/>
      <c r="I117" s="1056"/>
      <c r="J117" s="1056"/>
      <c r="K117" s="1056"/>
      <c r="L117" s="1057"/>
      <c r="M117" s="236">
        <f>M62+M67+M74+M81-L81</f>
        <v>0</v>
      </c>
      <c r="N117" s="304">
        <f>'Cost-Share'!U102</f>
        <v>0</v>
      </c>
      <c r="Q117" s="23"/>
      <c r="R117" s="487"/>
      <c r="S117" s="487"/>
      <c r="T117" s="487"/>
      <c r="U117" s="487"/>
      <c r="V117" s="23"/>
    </row>
    <row r="118" spans="1:22" ht="7.5" customHeight="1">
      <c r="A118" s="23"/>
      <c r="B118" s="960"/>
      <c r="C118" s="960"/>
      <c r="D118" s="960"/>
      <c r="E118" s="960"/>
      <c r="F118" s="960"/>
      <c r="G118" s="960"/>
      <c r="H118" s="960"/>
      <c r="I118" s="960"/>
      <c r="J118" s="960"/>
      <c r="K118" s="960"/>
      <c r="L118" s="960"/>
      <c r="M118" s="960"/>
      <c r="Q118" s="23"/>
      <c r="V118" s="23"/>
    </row>
    <row r="119" spans="1:22" ht="14.45" customHeight="1">
      <c r="A119" s="23"/>
      <c r="B119" s="1048" t="s">
        <v>218</v>
      </c>
      <c r="C119" s="997"/>
      <c r="D119" s="997"/>
      <c r="E119" s="997"/>
      <c r="F119" s="997"/>
      <c r="G119" s="474" t="s">
        <v>219</v>
      </c>
      <c r="H119" s="475">
        <f>'Bdgt Yr 1'!H119</f>
        <v>0.47599999999999998</v>
      </c>
      <c r="I119" s="476"/>
      <c r="J119" s="477" t="s">
        <v>220</v>
      </c>
      <c r="K119" s="478">
        <f>M115-M117</f>
        <v>0</v>
      </c>
      <c r="L119" s="479"/>
      <c r="M119" s="236">
        <f>ROUNDUP(H119*K119,0)</f>
        <v>0</v>
      </c>
      <c r="N119" s="304">
        <f>'Cost-Share'!U104</f>
        <v>0</v>
      </c>
      <c r="Q119" s="23"/>
      <c r="R119" s="487"/>
      <c r="S119" s="487"/>
      <c r="T119" s="487"/>
      <c r="U119" s="487"/>
      <c r="V119" s="23"/>
    </row>
    <row r="120" spans="1:22" ht="7.5" customHeight="1">
      <c r="A120" s="23"/>
      <c r="B120" s="960"/>
      <c r="C120" s="960"/>
      <c r="D120" s="960"/>
      <c r="E120" s="960"/>
      <c r="F120" s="960"/>
      <c r="G120" s="960"/>
      <c r="H120" s="960"/>
      <c r="I120" s="960"/>
      <c r="J120" s="960"/>
      <c r="K120" s="960"/>
      <c r="L120" s="960"/>
      <c r="M120" s="960"/>
      <c r="Q120" s="23"/>
      <c r="V120" s="23"/>
    </row>
    <row r="121" spans="1:22" ht="15" thickBot="1">
      <c r="A121" s="23"/>
      <c r="B121" s="996" t="s">
        <v>221</v>
      </c>
      <c r="C121" s="997"/>
      <c r="D121" s="997"/>
      <c r="E121" s="997"/>
      <c r="F121" s="997"/>
      <c r="G121" s="997"/>
      <c r="H121" s="997"/>
      <c r="I121" s="997"/>
      <c r="J121" s="997"/>
      <c r="K121" s="997"/>
      <c r="L121" s="1018"/>
      <c r="M121" s="345">
        <f>+M115+M119</f>
        <v>0</v>
      </c>
      <c r="N121" s="346">
        <f>+N115+N119</f>
        <v>0</v>
      </c>
      <c r="O121" s="259" t="s">
        <v>222</v>
      </c>
      <c r="P121" s="261">
        <v>50000</v>
      </c>
      <c r="Q121" s="23"/>
      <c r="R121" s="487"/>
      <c r="S121" s="487"/>
      <c r="T121" s="487"/>
      <c r="U121" s="487"/>
      <c r="V121" s="23"/>
    </row>
    <row r="122" spans="1:22" ht="7.5" customHeight="1" thickBot="1">
      <c r="A122" s="23"/>
      <c r="B122" s="960"/>
      <c r="C122" s="960"/>
      <c r="D122" s="960"/>
      <c r="E122" s="960"/>
      <c r="F122" s="960"/>
      <c r="G122" s="960"/>
      <c r="H122" s="960"/>
      <c r="I122" s="960"/>
      <c r="J122" s="960"/>
      <c r="K122" s="960"/>
      <c r="L122" s="960"/>
      <c r="M122" s="960"/>
      <c r="Q122" s="23"/>
      <c r="V122" s="23"/>
    </row>
    <row r="123" spans="1:22" ht="15" thickBot="1">
      <c r="A123" s="23"/>
      <c r="B123" s="482"/>
      <c r="C123" s="483"/>
      <c r="D123" s="483"/>
      <c r="E123" s="483"/>
      <c r="F123" s="483"/>
      <c r="G123" s="483"/>
      <c r="H123" s="483"/>
      <c r="I123" s="483"/>
      <c r="J123" s="483"/>
      <c r="K123" s="483"/>
      <c r="L123" s="484" t="s">
        <v>231</v>
      </c>
      <c r="M123" s="1024">
        <f>+M121+N121</f>
        <v>0</v>
      </c>
      <c r="N123" s="1025"/>
      <c r="O123" s="259" t="s">
        <v>224</v>
      </c>
      <c r="P123" s="261">
        <f>(P121-M117)/(H119+1)</f>
        <v>33875.338753387536</v>
      </c>
      <c r="Q123" s="23"/>
      <c r="R123" s="487"/>
      <c r="S123" s="487"/>
      <c r="T123" s="487"/>
      <c r="U123" s="487"/>
      <c r="V123" s="23"/>
    </row>
    <row r="124" spans="1:22">
      <c r="A124" s="23"/>
      <c r="B124" s="1005"/>
      <c r="C124" s="1005"/>
      <c r="D124" s="1005"/>
      <c r="E124" s="1005"/>
      <c r="F124" s="1005"/>
      <c r="G124" s="1005"/>
      <c r="H124" s="1005"/>
      <c r="I124" s="1005"/>
      <c r="J124" s="1005"/>
      <c r="K124" s="1005"/>
      <c r="L124" s="1005"/>
      <c r="M124" s="1005"/>
      <c r="N124" s="1005"/>
      <c r="Q124" s="23"/>
      <c r="R124" s="487"/>
      <c r="S124" s="487"/>
      <c r="T124" s="487"/>
      <c r="U124" s="487"/>
      <c r="V124" s="23"/>
    </row>
    <row r="125" spans="1:22">
      <c r="A125" s="23"/>
      <c r="B125" s="1005"/>
      <c r="C125" s="1005"/>
      <c r="D125" s="1005"/>
      <c r="E125" s="1005"/>
      <c r="F125" s="1005"/>
      <c r="G125" s="1005"/>
      <c r="H125" s="1005"/>
      <c r="I125" s="1005"/>
      <c r="J125" s="1005"/>
      <c r="K125" s="1005"/>
      <c r="L125" s="1005"/>
      <c r="M125" s="1005"/>
      <c r="N125" s="1005"/>
      <c r="Q125" s="23"/>
      <c r="R125" s="487"/>
      <c r="S125" s="487"/>
      <c r="T125" s="487"/>
      <c r="U125" s="487"/>
      <c r="V125" s="23"/>
    </row>
    <row r="126" spans="1:22">
      <c r="A126" s="23"/>
      <c r="B126" s="481"/>
      <c r="C126" s="473"/>
      <c r="D126" s="473"/>
      <c r="E126" s="473"/>
      <c r="F126" s="473"/>
      <c r="G126" s="473"/>
      <c r="H126" s="485"/>
      <c r="I126" s="485"/>
      <c r="J126" s="485"/>
      <c r="K126" s="485"/>
      <c r="L126" s="486"/>
      <c r="M126" s="486"/>
      <c r="N126" s="486"/>
      <c r="O126" s="486"/>
      <c r="P126" s="486"/>
      <c r="Q126" s="23"/>
      <c r="R126" s="487"/>
      <c r="S126" s="487"/>
      <c r="T126" s="487"/>
      <c r="U126" s="487"/>
      <c r="V126" s="23"/>
    </row>
    <row r="127" spans="1:22">
      <c r="A127" s="23"/>
      <c r="B127" s="481"/>
      <c r="C127" s="473"/>
      <c r="D127" s="473"/>
      <c r="E127" s="473"/>
      <c r="F127" s="473"/>
      <c r="G127" s="473"/>
      <c r="H127" s="485"/>
      <c r="I127" s="485"/>
      <c r="J127" s="485"/>
      <c r="K127" s="485"/>
      <c r="L127" s="486"/>
      <c r="M127" s="486"/>
      <c r="N127" s="486"/>
      <c r="O127" s="486"/>
      <c r="P127" s="486"/>
      <c r="Q127" s="23"/>
      <c r="R127" s="487"/>
      <c r="S127" s="487"/>
      <c r="T127" s="487"/>
      <c r="U127" s="487"/>
      <c r="V127" s="23"/>
    </row>
    <row r="128" spans="1:22">
      <c r="A128" s="23"/>
      <c r="B128" s="481"/>
      <c r="C128" s="473"/>
      <c r="D128" s="473"/>
      <c r="E128" s="473"/>
      <c r="F128" s="473"/>
      <c r="G128" s="473"/>
      <c r="H128" s="485"/>
      <c r="I128" s="485"/>
      <c r="J128" s="485"/>
      <c r="K128" s="485"/>
      <c r="L128" s="486"/>
      <c r="M128" s="486"/>
      <c r="N128" s="486"/>
      <c r="O128" s="486"/>
      <c r="P128" s="486"/>
      <c r="Q128" s="23"/>
      <c r="R128" s="487"/>
      <c r="S128" s="487"/>
      <c r="T128" s="487"/>
      <c r="U128" s="487"/>
      <c r="V128" s="23"/>
    </row>
    <row r="129" spans="1:22">
      <c r="A129" s="23"/>
      <c r="B129" s="481"/>
      <c r="C129" s="473"/>
      <c r="D129" s="473"/>
      <c r="E129" s="473"/>
      <c r="F129" s="473"/>
      <c r="G129" s="473"/>
      <c r="H129" s="485"/>
      <c r="I129" s="485"/>
      <c r="J129" s="485"/>
      <c r="K129" s="485"/>
      <c r="L129" s="486"/>
      <c r="M129" s="486"/>
      <c r="N129" s="486"/>
      <c r="O129" s="486"/>
      <c r="P129" s="486"/>
      <c r="Q129" s="23"/>
      <c r="R129" s="487"/>
      <c r="S129" s="487"/>
      <c r="T129" s="487"/>
      <c r="U129" s="487"/>
      <c r="V129" s="23"/>
    </row>
    <row r="130" spans="1:22">
      <c r="A130" s="23"/>
      <c r="B130" s="481"/>
      <c r="C130" s="473"/>
      <c r="D130" s="473"/>
      <c r="E130" s="473"/>
      <c r="F130" s="473"/>
      <c r="G130" s="473"/>
      <c r="H130" s="485"/>
      <c r="I130" s="485"/>
      <c r="J130" s="485"/>
      <c r="K130" s="485"/>
      <c r="L130" s="486"/>
      <c r="M130" s="486"/>
      <c r="N130" s="486"/>
      <c r="O130" s="486"/>
      <c r="P130" s="486"/>
      <c r="Q130" s="23"/>
      <c r="R130" s="487"/>
      <c r="S130" s="487"/>
      <c r="T130" s="487"/>
      <c r="U130" s="487"/>
      <c r="V130" s="23"/>
    </row>
    <row r="131" spans="1:22">
      <c r="A131" s="23"/>
      <c r="B131" s="481"/>
      <c r="C131" s="473"/>
      <c r="D131" s="473"/>
      <c r="E131" s="473"/>
      <c r="F131" s="473"/>
      <c r="G131" s="473"/>
      <c r="H131" s="473"/>
      <c r="I131" s="473"/>
      <c r="J131" s="486"/>
      <c r="K131" s="486"/>
      <c r="L131" s="486"/>
      <c r="M131" s="486"/>
      <c r="N131" s="486"/>
      <c r="O131" s="486"/>
      <c r="P131" s="486"/>
      <c r="Q131" s="23"/>
      <c r="R131" s="487"/>
      <c r="S131" s="487"/>
      <c r="T131" s="487"/>
      <c r="U131" s="487"/>
      <c r="V131" s="23"/>
    </row>
    <row r="132" spans="1:22">
      <c r="A132" s="23"/>
      <c r="B132" s="481"/>
      <c r="C132" s="473"/>
      <c r="D132" s="473"/>
      <c r="E132" s="473"/>
      <c r="F132" s="473"/>
      <c r="G132" s="473"/>
      <c r="H132" s="473"/>
      <c r="I132" s="473"/>
      <c r="J132" s="486"/>
      <c r="K132" s="486"/>
      <c r="L132" s="486"/>
      <c r="M132" s="473"/>
      <c r="N132" s="473"/>
      <c r="O132" s="473"/>
      <c r="P132" s="473"/>
      <c r="Q132" s="23"/>
      <c r="R132" s="487"/>
      <c r="S132" s="487"/>
      <c r="T132" s="487"/>
      <c r="U132" s="487"/>
      <c r="V132" s="23"/>
    </row>
    <row r="133" spans="1:22">
      <c r="A133" s="23"/>
      <c r="B133" s="481"/>
      <c r="C133" s="473"/>
      <c r="D133" s="473"/>
      <c r="E133" s="473"/>
      <c r="F133" s="473"/>
      <c r="G133" s="473"/>
      <c r="H133" s="473"/>
      <c r="I133" s="473"/>
      <c r="J133" s="486"/>
      <c r="K133" s="486"/>
      <c r="L133" s="486"/>
      <c r="M133" s="486"/>
      <c r="N133" s="486"/>
      <c r="O133" s="486"/>
      <c r="P133" s="486"/>
      <c r="Q133" s="23"/>
      <c r="R133" s="487"/>
      <c r="S133" s="487"/>
      <c r="T133" s="487"/>
      <c r="U133" s="487"/>
      <c r="V133" s="23"/>
    </row>
    <row r="134" spans="1:22">
      <c r="A134" s="23"/>
      <c r="B134" s="481"/>
      <c r="C134" s="473"/>
      <c r="D134" s="473"/>
      <c r="E134" s="473"/>
      <c r="F134" s="473"/>
      <c r="G134" s="473"/>
      <c r="H134" s="473"/>
      <c r="I134" s="473"/>
      <c r="J134" s="486"/>
      <c r="K134" s="486"/>
      <c r="L134" s="486"/>
      <c r="M134" s="473"/>
      <c r="N134" s="473"/>
      <c r="O134" s="473"/>
      <c r="P134" s="473"/>
      <c r="Q134" s="23"/>
      <c r="R134" s="487"/>
      <c r="S134" s="487"/>
      <c r="T134" s="487"/>
      <c r="U134" s="487"/>
      <c r="V134" s="23"/>
    </row>
    <row r="135" spans="1:22">
      <c r="A135" s="23"/>
      <c r="B135" s="481"/>
      <c r="C135" s="473"/>
      <c r="D135" s="473"/>
      <c r="E135" s="473"/>
      <c r="F135" s="473"/>
      <c r="G135" s="473"/>
      <c r="H135" s="486"/>
      <c r="I135" s="486"/>
      <c r="J135" s="486"/>
      <c r="K135" s="486"/>
      <c r="L135" s="486"/>
      <c r="M135" s="486"/>
      <c r="N135" s="486"/>
      <c r="O135" s="486"/>
      <c r="P135" s="486"/>
      <c r="Q135" s="23"/>
      <c r="R135" s="487"/>
      <c r="S135" s="487"/>
      <c r="T135" s="487"/>
      <c r="U135" s="487"/>
      <c r="V135" s="23"/>
    </row>
    <row r="136" spans="1:22">
      <c r="A136" s="23"/>
      <c r="B136" s="488"/>
      <c r="C136" s="473"/>
      <c r="D136" s="473"/>
      <c r="E136" s="473"/>
      <c r="F136" s="473"/>
      <c r="G136" s="473"/>
      <c r="H136" s="473"/>
      <c r="I136" s="473"/>
      <c r="J136" s="486"/>
      <c r="K136" s="486"/>
      <c r="L136" s="486"/>
      <c r="M136" s="473"/>
      <c r="N136" s="473"/>
      <c r="O136" s="473"/>
      <c r="P136" s="473"/>
      <c r="Q136" s="23"/>
      <c r="R136" s="487"/>
      <c r="S136" s="487"/>
      <c r="T136" s="487"/>
      <c r="U136" s="487"/>
      <c r="V136" s="23"/>
    </row>
    <row r="137" spans="1:22">
      <c r="A137" s="23"/>
      <c r="B137" s="488"/>
      <c r="C137" s="473"/>
      <c r="D137" s="473"/>
      <c r="E137" s="473"/>
      <c r="F137" s="473"/>
      <c r="G137" s="473"/>
      <c r="H137" s="473"/>
      <c r="I137" s="473"/>
      <c r="J137" s="486"/>
      <c r="K137" s="486"/>
      <c r="L137" s="486"/>
      <c r="M137" s="486"/>
      <c r="N137" s="486"/>
      <c r="O137" s="486"/>
      <c r="P137" s="486"/>
      <c r="Q137" s="23"/>
      <c r="R137" s="487"/>
      <c r="S137" s="487"/>
      <c r="T137" s="487"/>
      <c r="U137" s="487"/>
      <c r="V137" s="23"/>
    </row>
    <row r="138" spans="1:22" ht="14.25" hidden="1" customHeight="1">
      <c r="A138" s="23"/>
      <c r="B138" s="488"/>
      <c r="C138" s="473"/>
      <c r="D138" s="473"/>
      <c r="E138" s="473"/>
      <c r="F138" s="473"/>
      <c r="G138" s="473"/>
      <c r="H138" s="473"/>
      <c r="I138" s="473"/>
      <c r="J138" s="473"/>
      <c r="K138" s="473"/>
      <c r="L138" s="473"/>
      <c r="M138" s="473"/>
      <c r="N138" s="473"/>
      <c r="O138" s="473"/>
      <c r="P138" s="473"/>
      <c r="Q138" s="23"/>
      <c r="R138" s="487"/>
      <c r="S138" s="487"/>
      <c r="T138" s="487"/>
      <c r="U138" s="487"/>
      <c r="V138" s="23"/>
    </row>
    <row r="139" spans="1:22" ht="14.25" hidden="1" customHeight="1">
      <c r="A139" s="23"/>
      <c r="B139" s="488"/>
      <c r="C139" s="473"/>
      <c r="D139" s="473"/>
      <c r="E139" s="473"/>
      <c r="F139" s="473"/>
      <c r="G139" s="473"/>
      <c r="H139" s="473"/>
      <c r="I139" s="473"/>
      <c r="J139" s="473"/>
      <c r="K139" s="473"/>
      <c r="L139" s="473"/>
      <c r="M139" s="473"/>
      <c r="N139" s="473"/>
      <c r="O139" s="473"/>
      <c r="P139" s="473"/>
      <c r="Q139" s="23"/>
      <c r="R139" s="487"/>
      <c r="S139" s="487"/>
      <c r="T139" s="487"/>
      <c r="U139" s="487"/>
      <c r="V139" s="23"/>
    </row>
    <row r="140" spans="1:22" ht="14.25" hidden="1" customHeight="1">
      <c r="A140" s="23"/>
      <c r="B140" s="488"/>
      <c r="C140" s="473"/>
      <c r="D140" s="473"/>
      <c r="E140" s="473"/>
      <c r="F140" s="473"/>
      <c r="G140" s="473"/>
      <c r="H140" s="473"/>
      <c r="I140" s="473"/>
      <c r="J140" s="473"/>
      <c r="K140" s="473"/>
      <c r="L140" s="473"/>
      <c r="M140" s="473"/>
      <c r="N140" s="473"/>
      <c r="O140" s="473"/>
      <c r="P140" s="473"/>
      <c r="Q140" s="23"/>
      <c r="V140" s="23"/>
    </row>
    <row r="141" spans="1:22" ht="14.25" hidden="1" customHeight="1">
      <c r="A141" s="23"/>
      <c r="B141" s="488"/>
      <c r="C141" s="473"/>
      <c r="D141" s="473"/>
      <c r="E141" s="473"/>
      <c r="F141" s="473"/>
      <c r="G141" s="473"/>
      <c r="H141" s="473"/>
      <c r="I141" s="473"/>
      <c r="J141" s="473"/>
      <c r="K141" s="473"/>
      <c r="L141" s="473"/>
      <c r="M141" s="473"/>
      <c r="N141" s="473"/>
      <c r="O141" s="473"/>
      <c r="P141" s="473"/>
      <c r="Q141" s="23"/>
      <c r="V141" s="23"/>
    </row>
    <row r="142" spans="1:22" ht="14.25" hidden="1" customHeight="1">
      <c r="A142" s="23"/>
      <c r="B142" s="488"/>
      <c r="C142" s="473"/>
      <c r="D142" s="473"/>
      <c r="E142" s="473"/>
      <c r="F142" s="473"/>
      <c r="G142" s="473"/>
      <c r="H142" s="473"/>
      <c r="I142" s="473"/>
      <c r="J142" s="473"/>
      <c r="K142" s="473"/>
      <c r="L142" s="473"/>
      <c r="M142" s="473"/>
      <c r="N142" s="473"/>
      <c r="O142" s="473"/>
      <c r="P142" s="473"/>
      <c r="Q142" s="23"/>
      <c r="V142" s="23"/>
    </row>
    <row r="143" spans="1:22">
      <c r="A143" s="23"/>
      <c r="B143" s="488"/>
      <c r="C143" s="473"/>
      <c r="D143" s="473"/>
      <c r="E143" s="473"/>
      <c r="F143" s="473"/>
      <c r="G143" s="473"/>
      <c r="H143" s="473"/>
      <c r="I143" s="473"/>
      <c r="J143" s="473"/>
      <c r="K143" s="473"/>
      <c r="L143" s="473"/>
      <c r="M143" s="473"/>
      <c r="N143" s="473"/>
      <c r="O143" s="473"/>
      <c r="P143" s="473"/>
      <c r="Q143" s="23"/>
      <c r="V143" s="23"/>
    </row>
    <row r="144" spans="1:22">
      <c r="A144" s="23"/>
      <c r="B144" s="488"/>
      <c r="C144" s="473"/>
      <c r="D144" s="473"/>
      <c r="E144" s="473"/>
      <c r="F144" s="473"/>
      <c r="G144" s="473"/>
      <c r="H144" s="473"/>
      <c r="I144" s="473"/>
      <c r="J144" s="473"/>
      <c r="K144" s="473"/>
      <c r="L144" s="473"/>
      <c r="M144" s="473"/>
      <c r="N144" s="473"/>
      <c r="O144" s="473"/>
      <c r="P144" s="473"/>
      <c r="Q144" s="23"/>
      <c r="V144" s="23"/>
    </row>
    <row r="145" spans="1:22">
      <c r="A145" s="23"/>
      <c r="B145" s="488"/>
      <c r="C145" s="473"/>
      <c r="D145" s="473"/>
      <c r="E145" s="473"/>
      <c r="F145" s="473"/>
      <c r="G145" s="473"/>
      <c r="H145" s="473"/>
      <c r="I145" s="473"/>
      <c r="J145" s="473"/>
      <c r="K145" s="473"/>
      <c r="L145" s="473"/>
      <c r="M145" s="473"/>
      <c r="N145" s="473"/>
      <c r="O145" s="473"/>
      <c r="P145" s="473"/>
      <c r="Q145" s="23"/>
      <c r="V145" s="23"/>
    </row>
    <row r="146" spans="1:22">
      <c r="A146" s="23"/>
      <c r="B146" s="488"/>
      <c r="C146" s="473"/>
      <c r="D146" s="473"/>
      <c r="E146" s="473"/>
      <c r="F146" s="473"/>
      <c r="G146" s="473"/>
      <c r="H146" s="473"/>
      <c r="I146" s="473"/>
      <c r="J146" s="473"/>
      <c r="K146" s="473"/>
      <c r="L146" s="473"/>
      <c r="M146" s="473"/>
      <c r="N146" s="473"/>
      <c r="O146" s="473"/>
      <c r="P146" s="473"/>
      <c r="Q146" s="23"/>
      <c r="V146" s="23"/>
    </row>
    <row r="147" spans="1:22">
      <c r="A147" s="23"/>
      <c r="B147" s="488"/>
      <c r="C147" s="473"/>
      <c r="D147" s="473"/>
      <c r="E147" s="473"/>
      <c r="F147" s="473"/>
      <c r="G147" s="473"/>
      <c r="H147" s="473"/>
      <c r="I147" s="473"/>
      <c r="J147" s="473"/>
      <c r="K147" s="473"/>
      <c r="L147" s="473"/>
      <c r="M147" s="473"/>
      <c r="N147" s="473"/>
      <c r="O147" s="473"/>
      <c r="P147" s="473"/>
      <c r="Q147" s="23"/>
      <c r="V147" s="23"/>
    </row>
    <row r="148" spans="1:22">
      <c r="A148" s="23"/>
      <c r="B148" s="488"/>
      <c r="C148" s="473"/>
      <c r="D148" s="473"/>
      <c r="E148" s="473"/>
      <c r="F148" s="473"/>
      <c r="G148" s="473"/>
      <c r="H148" s="473"/>
      <c r="I148" s="473"/>
      <c r="J148" s="473"/>
      <c r="K148" s="473"/>
      <c r="L148" s="473"/>
      <c r="M148" s="473"/>
      <c r="N148" s="473"/>
      <c r="O148" s="473"/>
      <c r="P148" s="473"/>
      <c r="Q148" s="23"/>
      <c r="V148" s="23"/>
    </row>
    <row r="149" spans="1:22">
      <c r="A149" s="23"/>
      <c r="B149" s="488"/>
      <c r="C149" s="473"/>
      <c r="D149" s="473"/>
      <c r="E149" s="473"/>
      <c r="F149" s="473"/>
      <c r="G149" s="473"/>
      <c r="H149" s="473"/>
      <c r="I149" s="473"/>
      <c r="J149" s="473"/>
      <c r="K149" s="473"/>
      <c r="L149" s="473"/>
      <c r="M149" s="473"/>
      <c r="N149" s="473"/>
      <c r="O149" s="473"/>
      <c r="P149" s="473"/>
      <c r="Q149" s="23"/>
      <c r="V149" s="23"/>
    </row>
    <row r="150" spans="1:22">
      <c r="A150" s="23"/>
      <c r="B150" s="488"/>
      <c r="C150" s="473"/>
      <c r="D150" s="473"/>
      <c r="E150" s="473"/>
      <c r="F150" s="473"/>
      <c r="G150" s="473"/>
      <c r="H150" s="473"/>
      <c r="I150" s="473"/>
      <c r="J150" s="473"/>
      <c r="K150" s="473"/>
      <c r="L150" s="473"/>
      <c r="M150" s="473"/>
      <c r="N150" s="473"/>
      <c r="O150" s="473"/>
      <c r="P150" s="473"/>
      <c r="Q150" s="23"/>
      <c r="V150" s="23"/>
    </row>
    <row r="151" spans="1:22">
      <c r="A151" s="23"/>
      <c r="B151" s="488"/>
      <c r="C151" s="473"/>
      <c r="D151" s="473"/>
      <c r="E151" s="473"/>
      <c r="F151" s="473"/>
      <c r="G151" s="473"/>
      <c r="H151" s="473"/>
      <c r="I151" s="473"/>
      <c r="J151" s="473"/>
      <c r="K151" s="473"/>
      <c r="L151" s="473"/>
      <c r="M151" s="473"/>
      <c r="N151" s="473"/>
      <c r="O151" s="473"/>
      <c r="P151" s="473"/>
      <c r="Q151" s="23"/>
      <c r="V151" s="23"/>
    </row>
    <row r="152" spans="1:22">
      <c r="A152" s="23"/>
      <c r="B152" s="488"/>
      <c r="C152" s="473"/>
      <c r="D152" s="473"/>
      <c r="E152" s="473"/>
      <c r="F152" s="473"/>
      <c r="G152" s="473"/>
      <c r="H152" s="473"/>
      <c r="I152" s="473"/>
      <c r="J152" s="473"/>
      <c r="K152" s="473"/>
      <c r="L152" s="473"/>
      <c r="M152" s="473"/>
      <c r="N152" s="473"/>
      <c r="O152" s="473"/>
      <c r="P152" s="473"/>
      <c r="Q152" s="23"/>
      <c r="V152" s="23"/>
    </row>
    <row r="153" spans="1:22">
      <c r="A153" s="23"/>
      <c r="B153" s="488"/>
      <c r="C153" s="473"/>
      <c r="D153" s="473"/>
      <c r="E153" s="473"/>
      <c r="F153" s="473"/>
      <c r="G153" s="473"/>
      <c r="H153" s="473"/>
      <c r="I153" s="473"/>
      <c r="J153" s="473"/>
      <c r="K153" s="473"/>
      <c r="L153" s="473"/>
      <c r="M153" s="473"/>
      <c r="N153" s="473"/>
      <c r="O153" s="473"/>
      <c r="P153" s="473"/>
      <c r="Q153" s="23"/>
      <c r="V153" s="23"/>
    </row>
    <row r="154" spans="1:22">
      <c r="A154" s="23"/>
      <c r="B154" s="488"/>
      <c r="C154" s="473"/>
      <c r="D154" s="473"/>
      <c r="E154" s="473"/>
      <c r="F154" s="473"/>
      <c r="G154" s="473"/>
      <c r="H154" s="473"/>
      <c r="I154" s="473"/>
      <c r="J154" s="473"/>
      <c r="K154" s="473"/>
      <c r="L154" s="473"/>
      <c r="M154" s="473"/>
      <c r="N154" s="473"/>
      <c r="O154" s="473"/>
      <c r="P154" s="473"/>
      <c r="Q154" s="23"/>
      <c r="V154" s="23"/>
    </row>
  </sheetData>
  <protectedRanges>
    <protectedRange sqref="I12:J23 M77:M80 F89:M112 F45:J48 D45:D48 F61:M61 D59:D61 D70:D72 B73:D73 F70:M73 F65:M66 D65:D66 F77:K80 D77:D80 F84:M85 D84:D85 B12:G23 F59:L60" name="Range1"/>
    <protectedRange sqref="D30:D31 D37:D38 F30:J31 F37:H38 J37:K38" name="Range1_1"/>
    <protectedRange sqref="F49:J51 E49 D50:D51" name="Range1_2"/>
    <protectedRange sqref="B30:C31 B37:C38" name="Range1_4"/>
    <protectedRange sqref="B45:C51 D49" name="Range1_6"/>
    <protectedRange sqref="M59:M60" name="Range1_3"/>
  </protectedRanges>
  <mergeCells count="250">
    <mergeCell ref="F110:L110"/>
    <mergeCell ref="B84:C84"/>
    <mergeCell ref="B89:C89"/>
    <mergeCell ref="B90:C90"/>
    <mergeCell ref="B91:C91"/>
    <mergeCell ref="H51:I51"/>
    <mergeCell ref="B45:C45"/>
    <mergeCell ref="B46:C46"/>
    <mergeCell ref="B47:C47"/>
    <mergeCell ref="B48:C48"/>
    <mergeCell ref="H60:I60"/>
    <mergeCell ref="B61:C61"/>
    <mergeCell ref="F61:L61"/>
    <mergeCell ref="B62:L62"/>
    <mergeCell ref="B94:C94"/>
    <mergeCell ref="B95:C95"/>
    <mergeCell ref="B102:C102"/>
    <mergeCell ref="F108:L108"/>
    <mergeCell ref="B82:M82"/>
    <mergeCell ref="F77:K77"/>
    <mergeCell ref="H50:I50"/>
    <mergeCell ref="J58:L58"/>
    <mergeCell ref="J59:L59"/>
    <mergeCell ref="B104:C104"/>
    <mergeCell ref="B124:N125"/>
    <mergeCell ref="B68:M68"/>
    <mergeCell ref="B88:E88"/>
    <mergeCell ref="F88:M88"/>
    <mergeCell ref="B105:C105"/>
    <mergeCell ref="F105:L105"/>
    <mergeCell ref="B113:L113"/>
    <mergeCell ref="B115:L115"/>
    <mergeCell ref="B119:F119"/>
    <mergeCell ref="B87:M87"/>
    <mergeCell ref="B112:C112"/>
    <mergeCell ref="B106:C106"/>
    <mergeCell ref="B107:C107"/>
    <mergeCell ref="B108:C108"/>
    <mergeCell ref="B109:C109"/>
    <mergeCell ref="B110:C110"/>
    <mergeCell ref="F109:L109"/>
    <mergeCell ref="B75:M75"/>
    <mergeCell ref="B111:C111"/>
    <mergeCell ref="F85:L85"/>
    <mergeCell ref="B117:L117"/>
    <mergeCell ref="B81:K81"/>
    <mergeCell ref="B79:C79"/>
    <mergeCell ref="B80:C80"/>
    <mergeCell ref="B121:L121"/>
    <mergeCell ref="M123:N123"/>
    <mergeCell ref="R8:U8"/>
    <mergeCell ref="B9:M9"/>
    <mergeCell ref="B49:C49"/>
    <mergeCell ref="B50:C50"/>
    <mergeCell ref="B51:C51"/>
    <mergeCell ref="B85:C85"/>
    <mergeCell ref="B70:C70"/>
    <mergeCell ref="B86:L86"/>
    <mergeCell ref="B71:C71"/>
    <mergeCell ref="B78:C78"/>
    <mergeCell ref="R28:U28"/>
    <mergeCell ref="B58:E58"/>
    <mergeCell ref="B59:C59"/>
    <mergeCell ref="B60:C60"/>
    <mergeCell ref="B56:P56"/>
    <mergeCell ref="R43:U43"/>
    <mergeCell ref="B92:C92"/>
    <mergeCell ref="B93:C93"/>
    <mergeCell ref="B43:M43"/>
    <mergeCell ref="B76:E76"/>
    <mergeCell ref="F76:M76"/>
    <mergeCell ref="B77:C77"/>
    <mergeCell ref="M2:P3"/>
    <mergeCell ref="C4:I4"/>
    <mergeCell ref="F2:H3"/>
    <mergeCell ref="I2:K3"/>
    <mergeCell ref="L2:L3"/>
    <mergeCell ref="B10:M10"/>
    <mergeCell ref="F19:G19"/>
    <mergeCell ref="N28:P28"/>
    <mergeCell ref="B37:C37"/>
    <mergeCell ref="F16:G16"/>
    <mergeCell ref="F17:G17"/>
    <mergeCell ref="F23:G23"/>
    <mergeCell ref="B28:M28"/>
    <mergeCell ref="D29:G29"/>
    <mergeCell ref="D30:G30"/>
    <mergeCell ref="D31:G31"/>
    <mergeCell ref="D36:G36"/>
    <mergeCell ref="D37:G37"/>
    <mergeCell ref="F21:G21"/>
    <mergeCell ref="F22:G22"/>
    <mergeCell ref="F20:G20"/>
    <mergeCell ref="B26:P26"/>
    <mergeCell ref="B27:M27"/>
    <mergeCell ref="B25:M25"/>
    <mergeCell ref="R10:U10"/>
    <mergeCell ref="L4:P4"/>
    <mergeCell ref="B8:P8"/>
    <mergeCell ref="N10:P10"/>
    <mergeCell ref="R6:U6"/>
    <mergeCell ref="B6:P6"/>
    <mergeCell ref="F18:G18"/>
    <mergeCell ref="B7:M7"/>
    <mergeCell ref="B54:J54"/>
    <mergeCell ref="B52:J52"/>
    <mergeCell ref="B24:J24"/>
    <mergeCell ref="F11:G11"/>
    <mergeCell ref="F12:G12"/>
    <mergeCell ref="F13:G13"/>
    <mergeCell ref="F14:G14"/>
    <mergeCell ref="F15:G15"/>
    <mergeCell ref="R26:U26"/>
    <mergeCell ref="R33:U33"/>
    <mergeCell ref="R35:U35"/>
    <mergeCell ref="B31:C31"/>
    <mergeCell ref="H49:I49"/>
    <mergeCell ref="B41:P41"/>
    <mergeCell ref="R41:U41"/>
    <mergeCell ref="B42:M42"/>
    <mergeCell ref="B35:M35"/>
    <mergeCell ref="B32:M32"/>
    <mergeCell ref="B33:P33"/>
    <mergeCell ref="B34:M34"/>
    <mergeCell ref="N35:P35"/>
    <mergeCell ref="B29:C29"/>
    <mergeCell ref="B30:C30"/>
    <mergeCell ref="K49:K51"/>
    <mergeCell ref="F59:G59"/>
    <mergeCell ref="N43:P43"/>
    <mergeCell ref="B40:M40"/>
    <mergeCell ref="B44:C44"/>
    <mergeCell ref="B53:M53"/>
    <mergeCell ref="D38:G38"/>
    <mergeCell ref="D44:G44"/>
    <mergeCell ref="H36:I36"/>
    <mergeCell ref="H37:I37"/>
    <mergeCell ref="H38:I38"/>
    <mergeCell ref="B122:M122"/>
    <mergeCell ref="B36:C36"/>
    <mergeCell ref="B39:J39"/>
    <mergeCell ref="B55:M55"/>
    <mergeCell ref="B114:M114"/>
    <mergeCell ref="B116:M116"/>
    <mergeCell ref="B118:M118"/>
    <mergeCell ref="B120:M120"/>
    <mergeCell ref="F70:L70"/>
    <mergeCell ref="F71:L71"/>
    <mergeCell ref="F72:L72"/>
    <mergeCell ref="F73:L73"/>
    <mergeCell ref="F106:L106"/>
    <mergeCell ref="F107:L107"/>
    <mergeCell ref="F111:L111"/>
    <mergeCell ref="F112:L112"/>
    <mergeCell ref="J60:L60"/>
    <mergeCell ref="F58:G58"/>
    <mergeCell ref="H58:I58"/>
    <mergeCell ref="H59:I59"/>
    <mergeCell ref="B38:C38"/>
    <mergeCell ref="F69:M69"/>
    <mergeCell ref="B103:C103"/>
    <mergeCell ref="B57:M57"/>
    <mergeCell ref="F89:L89"/>
    <mergeCell ref="F90:L90"/>
    <mergeCell ref="F91:L91"/>
    <mergeCell ref="F92:L92"/>
    <mergeCell ref="F93:L93"/>
    <mergeCell ref="F94:L94"/>
    <mergeCell ref="F95:L95"/>
    <mergeCell ref="F96:L96"/>
    <mergeCell ref="F97:L97"/>
    <mergeCell ref="F98:L98"/>
    <mergeCell ref="F99:L99"/>
    <mergeCell ref="F100:L100"/>
    <mergeCell ref="F101:L101"/>
    <mergeCell ref="F102:L102"/>
    <mergeCell ref="F103:L103"/>
    <mergeCell ref="F104:L104"/>
    <mergeCell ref="B96:C96"/>
    <mergeCell ref="B97:C97"/>
    <mergeCell ref="B98:C98"/>
    <mergeCell ref="B99:C99"/>
    <mergeCell ref="B100:C100"/>
    <mergeCell ref="B101:C101"/>
    <mergeCell ref="D92:E92"/>
    <mergeCell ref="D45:G45"/>
    <mergeCell ref="D46:G46"/>
    <mergeCell ref="D47:G47"/>
    <mergeCell ref="D48:G48"/>
    <mergeCell ref="D49:G49"/>
    <mergeCell ref="D50:G50"/>
    <mergeCell ref="D51:G51"/>
    <mergeCell ref="D80:E80"/>
    <mergeCell ref="D84:E84"/>
    <mergeCell ref="B64:E64"/>
    <mergeCell ref="B69:E69"/>
    <mergeCell ref="F66:L66"/>
    <mergeCell ref="B63:M63"/>
    <mergeCell ref="F64:M64"/>
    <mergeCell ref="F65:L65"/>
    <mergeCell ref="B65:C65"/>
    <mergeCell ref="B66:C66"/>
    <mergeCell ref="D85:E85"/>
    <mergeCell ref="D89:E89"/>
    <mergeCell ref="D90:E90"/>
    <mergeCell ref="D91:E91"/>
    <mergeCell ref="D59:E59"/>
    <mergeCell ref="D60:E60"/>
    <mergeCell ref="F80:K80"/>
    <mergeCell ref="B83:E83"/>
    <mergeCell ref="F84:L84"/>
    <mergeCell ref="F83:M83"/>
    <mergeCell ref="F78:K78"/>
    <mergeCell ref="F60:G60"/>
    <mergeCell ref="B67:L67"/>
    <mergeCell ref="B72:C72"/>
    <mergeCell ref="B73:C73"/>
    <mergeCell ref="D61:E61"/>
    <mergeCell ref="D70:E70"/>
    <mergeCell ref="D71:E71"/>
    <mergeCell ref="D72:E72"/>
    <mergeCell ref="D73:E73"/>
    <mergeCell ref="D65:E65"/>
    <mergeCell ref="D66:E66"/>
    <mergeCell ref="B74:L74"/>
    <mergeCell ref="F79:K79"/>
    <mergeCell ref="D111:E111"/>
    <mergeCell ref="D112:E112"/>
    <mergeCell ref="D2:E3"/>
    <mergeCell ref="D102:E102"/>
    <mergeCell ref="D103:E103"/>
    <mergeCell ref="D104:E104"/>
    <mergeCell ref="D105:E105"/>
    <mergeCell ref="D106:E106"/>
    <mergeCell ref="D107:E107"/>
    <mergeCell ref="D108:E108"/>
    <mergeCell ref="D109:E109"/>
    <mergeCell ref="D110:E110"/>
    <mergeCell ref="D93:E93"/>
    <mergeCell ref="D94:E94"/>
    <mergeCell ref="D95:E95"/>
    <mergeCell ref="D96:E96"/>
    <mergeCell ref="D97:E97"/>
    <mergeCell ref="D98:E98"/>
    <mergeCell ref="D99:E99"/>
    <mergeCell ref="D100:E100"/>
    <mergeCell ref="D101:E101"/>
    <mergeCell ref="D77:E77"/>
    <mergeCell ref="D78:E78"/>
    <mergeCell ref="D79:E79"/>
  </mergeCells>
  <conditionalFormatting sqref="I12:I23">
    <cfRule type="expression" dxfId="3" priority="1">
      <formula>SUM(B12+I12)&gt;12</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4352042B-AB06-4DE7-B412-61CF13E1C7B3}">
          <x14:formula1>
            <xm:f>'Tuition &amp; Fees'!$C$24:$D$24</xm:f>
          </x14:formula1>
          <xm:sqref>H59:H60</xm:sqref>
        </x14:dataValidation>
        <x14:dataValidation type="list" allowBlank="1" showInputMessage="1" showErrorMessage="1" xr:uid="{4367FDE1-4462-42E7-BBCA-C915948B8482}">
          <x14:formula1>
            <xm:f>'Tuition &amp; Fees'!$B$4:$B$21</xm:f>
          </x14:formula1>
          <xm:sqref>J59:L59</xm:sqref>
        </x14:dataValidation>
        <x14:dataValidation type="list" allowBlank="1" showInputMessage="1" showErrorMessage="1" xr:uid="{7B9FA59A-56EE-4CDA-A68D-8BBF82648A37}">
          <x14:formula1>
            <xm:f>'Tuition &amp; Fees'!$B$25:$B$42</xm:f>
          </x14:formula1>
          <xm:sqref>J60:L60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30C16-A186-4A3D-9CE3-D5F8DC275D17}">
  <sheetPr codeName="Sheet4"/>
  <dimension ref="B1:W180"/>
  <sheetViews>
    <sheetView showGridLines="0" zoomScaleNormal="100" workbookViewId="0">
      <selection activeCell="C2" sqref="C2"/>
    </sheetView>
  </sheetViews>
  <sheetFormatPr defaultColWidth="0" defaultRowHeight="14.25" zeroHeight="1"/>
  <cols>
    <col min="1" max="1" width="2.140625" style="23" customWidth="1"/>
    <col min="2" max="2" width="17" style="394" customWidth="1"/>
    <col min="3" max="3" width="17" style="23" customWidth="1"/>
    <col min="4" max="4" width="28.140625" style="23" customWidth="1"/>
    <col min="5" max="5" width="52.7109375" style="23" customWidth="1"/>
    <col min="6" max="6" width="5.28515625" style="23" customWidth="1"/>
    <col min="7" max="7" width="6.5703125" style="23" customWidth="1"/>
    <col min="8" max="8" width="10.7109375" style="23" customWidth="1"/>
    <col min="9" max="9" width="10.42578125" style="23" customWidth="1"/>
    <col min="10" max="10" width="17.140625" style="23" customWidth="1"/>
    <col min="11" max="11" width="16" style="23" customWidth="1"/>
    <col min="12" max="12" width="15.5703125" style="23" customWidth="1"/>
    <col min="13" max="15" width="16.42578125" style="23" customWidth="1"/>
    <col min="16" max="16" width="15" style="23" customWidth="1"/>
    <col min="17" max="17" width="2.7109375" style="23" customWidth="1"/>
    <col min="18" max="21" width="15" style="395" customWidth="1"/>
    <col min="22" max="22" width="9.140625" style="23" customWidth="1"/>
    <col min="23" max="16384" width="0" style="23" hidden="1"/>
  </cols>
  <sheetData>
    <row r="1" spans="2:21" ht="7.5" customHeight="1" thickBot="1"/>
    <row r="2" spans="2:21" s="398" customFormat="1" ht="14.25" customHeight="1">
      <c r="B2" s="396" t="s">
        <v>232</v>
      </c>
      <c r="C2" s="397" t="e">
        <f>IF(ISBLANK('Budget Summary'!D5),"-",EDATE('Bdgt Yr 2'!C2,12))</f>
        <v>#VALUE!</v>
      </c>
      <c r="D2" s="944" t="s">
        <v>123</v>
      </c>
      <c r="E2" s="945"/>
      <c r="F2" s="1035" t="s">
        <v>124</v>
      </c>
      <c r="G2" s="1036"/>
      <c r="H2" s="1036"/>
      <c r="I2" s="1039" t="str">
        <f>T('Bdgt Yr 1'!I2)</f>
        <v/>
      </c>
      <c r="J2" s="1039"/>
      <c r="K2" s="945"/>
      <c r="L2" s="1041" t="s">
        <v>125</v>
      </c>
      <c r="M2" s="1026" t="str">
        <f>T('Bdgt Yr 1'!M2)</f>
        <v/>
      </c>
      <c r="N2" s="1026"/>
      <c r="O2" s="1026"/>
      <c r="P2" s="1027"/>
      <c r="R2" s="404"/>
      <c r="S2" s="404"/>
      <c r="T2" s="404"/>
      <c r="U2" s="404"/>
    </row>
    <row r="3" spans="2:21" s="398" customFormat="1">
      <c r="B3" s="399" t="s">
        <v>233</v>
      </c>
      <c r="C3" s="400" t="e">
        <f>IF(ISBLANK('Budget Summary'!D5),"-",EDATE('Bdgt Yr 2'!C3,12))</f>
        <v>#VALUE!</v>
      </c>
      <c r="D3" s="946"/>
      <c r="E3" s="947"/>
      <c r="F3" s="1037"/>
      <c r="G3" s="1038"/>
      <c r="H3" s="1038"/>
      <c r="I3" s="1040"/>
      <c r="J3" s="1040"/>
      <c r="K3" s="947"/>
      <c r="L3" s="1042"/>
      <c r="M3" s="1028"/>
      <c r="N3" s="1028"/>
      <c r="O3" s="1028"/>
      <c r="P3" s="1029"/>
      <c r="R3" s="404"/>
      <c r="S3" s="404"/>
      <c r="T3" s="404"/>
      <c r="U3" s="404"/>
    </row>
    <row r="4" spans="2:21" ht="14.25" customHeight="1" thickBot="1">
      <c r="B4" s="401" t="s">
        <v>127</v>
      </c>
      <c r="C4" s="1117" t="str">
        <f>T('Bdgt Yr 1'!C4)</f>
        <v/>
      </c>
      <c r="D4" s="1118"/>
      <c r="E4" s="1118"/>
      <c r="F4" s="1118"/>
      <c r="G4" s="1118"/>
      <c r="H4" s="1118"/>
      <c r="I4" s="1119"/>
      <c r="J4" s="402" t="s">
        <v>128</v>
      </c>
      <c r="K4" s="403">
        <f>'Bdgt Yr 2'!K4+1</f>
        <v>2028</v>
      </c>
      <c r="L4" s="1032" t="s">
        <v>129</v>
      </c>
      <c r="M4" s="1033"/>
      <c r="N4" s="1033"/>
      <c r="O4" s="1033"/>
      <c r="P4" s="1034"/>
    </row>
    <row r="5" spans="2:21">
      <c r="B5" s="405"/>
      <c r="C5" s="490"/>
      <c r="D5" s="490"/>
      <c r="E5" s="490"/>
      <c r="F5" s="490"/>
      <c r="G5" s="490"/>
      <c r="H5" s="490"/>
      <c r="I5" s="490"/>
      <c r="J5" s="407"/>
      <c r="K5" s="408"/>
      <c r="L5" s="409"/>
      <c r="M5" s="409"/>
      <c r="N5" s="409"/>
      <c r="O5" s="409"/>
      <c r="P5" s="409"/>
    </row>
    <row r="6" spans="2:21" s="398" customFormat="1" ht="15.75" customHeight="1" thickBot="1">
      <c r="B6" s="985" t="s">
        <v>130</v>
      </c>
      <c r="C6" s="985"/>
      <c r="D6" s="985"/>
      <c r="E6" s="985"/>
      <c r="F6" s="985"/>
      <c r="G6" s="985"/>
      <c r="H6" s="985"/>
      <c r="I6" s="985"/>
      <c r="J6" s="985"/>
      <c r="K6" s="985"/>
      <c r="L6" s="985"/>
      <c r="M6" s="985"/>
      <c r="N6" s="985"/>
      <c r="O6" s="985"/>
      <c r="P6" s="985"/>
      <c r="Q6" s="23"/>
      <c r="R6" s="974"/>
      <c r="S6" s="974"/>
      <c r="T6" s="974"/>
      <c r="U6" s="974"/>
    </row>
    <row r="7" spans="2:21" ht="7.5" customHeight="1">
      <c r="B7" s="960"/>
      <c r="C7" s="960"/>
      <c r="D7" s="960"/>
      <c r="E7" s="960"/>
      <c r="F7" s="960"/>
      <c r="G7" s="960"/>
      <c r="H7" s="960"/>
      <c r="I7" s="960"/>
      <c r="J7" s="960"/>
      <c r="K7" s="960"/>
      <c r="L7" s="960"/>
      <c r="M7" s="960"/>
    </row>
    <row r="8" spans="2:21" s="398" customFormat="1" ht="15.75" customHeight="1" thickBot="1">
      <c r="B8" s="985" t="s">
        <v>131</v>
      </c>
      <c r="C8" s="985"/>
      <c r="D8" s="985"/>
      <c r="E8" s="985"/>
      <c r="F8" s="985"/>
      <c r="G8" s="985"/>
      <c r="H8" s="985"/>
      <c r="I8" s="985"/>
      <c r="J8" s="985"/>
      <c r="K8" s="985"/>
      <c r="L8" s="985"/>
      <c r="M8" s="985"/>
      <c r="N8" s="985"/>
      <c r="O8" s="985"/>
      <c r="P8" s="985"/>
      <c r="Q8" s="23"/>
      <c r="R8" s="984" t="s">
        <v>132</v>
      </c>
      <c r="S8" s="984"/>
      <c r="T8" s="984"/>
      <c r="U8" s="984"/>
    </row>
    <row r="9" spans="2:21" ht="7.5" customHeight="1" thickBot="1">
      <c r="B9" s="960"/>
      <c r="C9" s="960"/>
      <c r="D9" s="960"/>
      <c r="E9" s="960"/>
      <c r="F9" s="960"/>
      <c r="G9" s="960"/>
      <c r="H9" s="960"/>
      <c r="I9" s="960"/>
      <c r="J9" s="960"/>
      <c r="K9" s="960"/>
      <c r="L9" s="960"/>
      <c r="M9" s="960"/>
    </row>
    <row r="10" spans="2:21" ht="40.5" customHeight="1">
      <c r="B10" s="988" t="s">
        <v>227</v>
      </c>
      <c r="C10" s="989"/>
      <c r="D10" s="989"/>
      <c r="E10" s="989"/>
      <c r="F10" s="989"/>
      <c r="G10" s="989"/>
      <c r="H10" s="989"/>
      <c r="I10" s="989"/>
      <c r="J10" s="989"/>
      <c r="K10" s="989"/>
      <c r="L10" s="989"/>
      <c r="M10" s="989"/>
      <c r="N10" s="1043" t="s">
        <v>134</v>
      </c>
      <c r="O10" s="1044"/>
      <c r="P10" s="1045"/>
      <c r="Q10" s="410"/>
      <c r="R10" s="975" t="s">
        <v>135</v>
      </c>
      <c r="S10" s="976"/>
      <c r="T10" s="976"/>
      <c r="U10" s="977"/>
    </row>
    <row r="11" spans="2:21" ht="28.5">
      <c r="B11" s="526" t="s">
        <v>136</v>
      </c>
      <c r="C11" s="527" t="s">
        <v>228</v>
      </c>
      <c r="D11" s="527" t="s">
        <v>138</v>
      </c>
      <c r="E11" s="491" t="s">
        <v>159</v>
      </c>
      <c r="F11" s="1046" t="s">
        <v>140</v>
      </c>
      <c r="G11" s="1047"/>
      <c r="H11" s="361" t="s">
        <v>141</v>
      </c>
      <c r="I11" s="412" t="s">
        <v>142</v>
      </c>
      <c r="J11" s="412" t="s">
        <v>143</v>
      </c>
      <c r="K11" s="412" t="s">
        <v>144</v>
      </c>
      <c r="L11" s="412" t="s">
        <v>145</v>
      </c>
      <c r="M11" s="413" t="s">
        <v>146</v>
      </c>
      <c r="N11" s="263" t="s">
        <v>147</v>
      </c>
      <c r="O11" s="239" t="s">
        <v>148</v>
      </c>
      <c r="P11" s="271" t="s">
        <v>149</v>
      </c>
      <c r="R11" s="414" t="s">
        <v>150</v>
      </c>
      <c r="S11" s="415" t="s">
        <v>151</v>
      </c>
      <c r="T11" s="415" t="s">
        <v>152</v>
      </c>
      <c r="U11" s="416" t="s">
        <v>153</v>
      </c>
    </row>
    <row r="12" spans="2:21">
      <c r="B12" s="492" t="str">
        <f>IF(ISBLANK('Bdgt Yr 1'!B12),"",'Bdgt Yr 1'!B12)</f>
        <v/>
      </c>
      <c r="C12" s="417" t="str">
        <f>IF(ISBLANK('Bdgt Yr 1'!C12),"",'Bdgt Yr 1'!C12)</f>
        <v/>
      </c>
      <c r="D12" s="693" t="str">
        <f>IF(ISBLANK('Bdgt Yr 1'!D12),"",'Bdgt Yr 1'!D12)</f>
        <v/>
      </c>
      <c r="E12" s="493" t="str">
        <f>T('Bdgt Yr 1'!E12)</f>
        <v/>
      </c>
      <c r="F12" s="1115">
        <v>0</v>
      </c>
      <c r="G12" s="1116"/>
      <c r="H12" s="362">
        <f>IF(ISBLANK('Bdgt Yr 1'!B12),0,(F12/'Bdgt Yr 1'!B12))</f>
        <v>0</v>
      </c>
      <c r="I12" s="419">
        <v>0</v>
      </c>
      <c r="J12" s="25">
        <f>'Bdgt Yr 2'!J12*(1+'Budget Summary'!$G$35)</f>
        <v>0</v>
      </c>
      <c r="K12" s="507">
        <f>IF(ISBLANK('Bdgt Yr 1'!B12),0,ROUNDUP((J12*H12)+(J12/'Bdgt Yr 1'!B12)*I12,0))</f>
        <v>0</v>
      </c>
      <c r="L12" s="28" cm="1">
        <f t="array" ref="L12">ROUNDUP(_xlfn.IFS(ISBLANK('Bdgt Yr 1'!B12),0,OR(C12="ORP",K12=0),(J12*H12*Constants!$N$14)+(Constants!$N$15*H12)+(J12/'Bdgt Yr 1'!B12*I12*Constants!$N$14),OR(C12="TSERS",K12=0),(J12*H12*Constants!$N$7)+(Constants!$N$8*H12)+(J12/'Bdgt Yr 1'!B12*I12*Constants!$N$7),OR(C12="Law Enforcement",K12=0),(J12*H12*Constants!$N$28)+(Constants!$N$29*H12)+(J12/'Bdgt Yr 1'!B12*I12*Constants!$N$28)),0)</f>
        <v>0</v>
      </c>
      <c r="M12" s="56">
        <f>(+K12+L12)</f>
        <v>0</v>
      </c>
      <c r="N12" s="240">
        <f>'Cost-Share'!AB6</f>
        <v>0</v>
      </c>
      <c r="O12" s="238">
        <f>'Cost-Share'!AC6</f>
        <v>0</v>
      </c>
      <c r="P12" s="270">
        <f>'Cost-Share'!AD6</f>
        <v>0</v>
      </c>
      <c r="R12" s="420">
        <f>K12+N12</f>
        <v>0</v>
      </c>
      <c r="S12" s="421">
        <f>L12+O12</f>
        <v>0</v>
      </c>
      <c r="T12" s="421">
        <f>M12+P12</f>
        <v>0</v>
      </c>
      <c r="U12" s="422" t="str">
        <f t="shared" ref="U12:U17" si="0">IFERROR((P12/T12),"-")</f>
        <v>-</v>
      </c>
    </row>
    <row r="13" spans="2:21">
      <c r="B13" s="492" t="str">
        <f>IF(ISBLANK('Bdgt Yr 1'!B13),"",'Bdgt Yr 1'!B13)</f>
        <v/>
      </c>
      <c r="C13" s="417" t="str">
        <f>IF(ISBLANK('Bdgt Yr 1'!C13),"",'Bdgt Yr 1'!C13)</f>
        <v/>
      </c>
      <c r="D13" s="693" t="str">
        <f>IF(ISBLANK('Bdgt Yr 1'!D13),"",'Bdgt Yr 1'!D13)</f>
        <v/>
      </c>
      <c r="E13" s="493" t="str">
        <f>T('Bdgt Yr 1'!E13)</f>
        <v/>
      </c>
      <c r="F13" s="986">
        <v>0</v>
      </c>
      <c r="G13" s="987"/>
      <c r="H13" s="362">
        <f>IF(ISBLANK('Bdgt Yr 1'!B13),0,(F13/'Bdgt Yr 1'!B13))</f>
        <v>0</v>
      </c>
      <c r="I13" s="26">
        <v>0</v>
      </c>
      <c r="J13" s="25">
        <f>'Bdgt Yr 2'!J13*(1+'Budget Summary'!$G$35)</f>
        <v>0</v>
      </c>
      <c r="K13" s="507">
        <f>IF(ISBLANK('Bdgt Yr 1'!B13),0,ROUNDUP((J13*H13)+(J13/'Bdgt Yr 1'!B13)*I13,0))</f>
        <v>0</v>
      </c>
      <c r="L13" s="28" cm="1">
        <f t="array" ref="L13">ROUNDUP(_xlfn.IFS(ISBLANK('Bdgt Yr 1'!B13),0,OR(C13="ORP",K13=0),(J13*H13*Constants!$N$14)+(Constants!$N$15*H13)+(J13/'Bdgt Yr 1'!B13*I13*Constants!$N$14),OR(C13="TSERS",K13=0),(J13*H13*Constants!$N$7)+(Constants!$N$8*H13)+(J13/'Bdgt Yr 1'!B13*I13*Constants!$N$7),OR(C13="Law Enforcement",K13=0),(J13*H13*Constants!$N$28)+(Constants!$N$29*H13)+(J13/'Bdgt Yr 1'!B13*I13*Constants!$N$28)),0)</f>
        <v>0</v>
      </c>
      <c r="M13" s="57">
        <f t="shared" ref="M13:M23" si="1">(+K13+L13)</f>
        <v>0</v>
      </c>
      <c r="N13" s="240">
        <f>'Cost-Share'!AB7</f>
        <v>0</v>
      </c>
      <c r="O13" s="238">
        <f>'Cost-Share'!AC7</f>
        <v>0</v>
      </c>
      <c r="P13" s="270">
        <f>'Cost-Share'!AD7</f>
        <v>0</v>
      </c>
      <c r="R13" s="420">
        <f t="shared" ref="R13:R23" si="2">K13+N13</f>
        <v>0</v>
      </c>
      <c r="S13" s="421">
        <f t="shared" ref="S13:S23" si="3">L13+O13</f>
        <v>0</v>
      </c>
      <c r="T13" s="421">
        <f t="shared" ref="T13:T23" si="4">M13+P13</f>
        <v>0</v>
      </c>
      <c r="U13" s="422" t="str">
        <f t="shared" si="0"/>
        <v>-</v>
      </c>
    </row>
    <row r="14" spans="2:21">
      <c r="B14" s="492" t="str">
        <f>IF(ISBLANK('Bdgt Yr 1'!B14),"",'Bdgt Yr 1'!B14)</f>
        <v/>
      </c>
      <c r="C14" s="417" t="str">
        <f>IF(ISBLANK('Bdgt Yr 1'!C14),"",'Bdgt Yr 1'!C14)</f>
        <v/>
      </c>
      <c r="D14" s="693" t="str">
        <f>IF(ISBLANK('Bdgt Yr 1'!D14),"",'Bdgt Yr 1'!D14)</f>
        <v/>
      </c>
      <c r="E14" s="493" t="str">
        <f>T('Bdgt Yr 1'!E14)</f>
        <v/>
      </c>
      <c r="F14" s="986">
        <v>0</v>
      </c>
      <c r="G14" s="987"/>
      <c r="H14" s="362">
        <f>IF(ISBLANK('Bdgt Yr 1'!B14),0,(F14/'Bdgt Yr 1'!B14))</f>
        <v>0</v>
      </c>
      <c r="I14" s="419">
        <v>0</v>
      </c>
      <c r="J14" s="25">
        <f>'Bdgt Yr 2'!J14*(1+'Budget Summary'!$G$35)</f>
        <v>0</v>
      </c>
      <c r="K14" s="507">
        <f>IF(ISBLANK('Bdgt Yr 1'!B14),0,ROUNDUP((J14*H14)+(J14/'Bdgt Yr 1'!B14)*I14,0))</f>
        <v>0</v>
      </c>
      <c r="L14" s="28" cm="1">
        <f t="array" ref="L14">ROUNDUP(_xlfn.IFS(ISBLANK('Bdgt Yr 1'!B14),0,OR(C14="ORP",K14=0),(J14*H14*Constants!$N$14)+(Constants!$N$15*H14)+(J14/'Bdgt Yr 1'!B14*I14*Constants!$N$14),OR(C14="TSERS",K14=0),(J14*H14*Constants!$N$7)+(Constants!$N$8*H14)+(J14/'Bdgt Yr 1'!B14*I14*Constants!$N$7),OR(C14="Law Enforcement",K14=0),(J14*H14*Constants!$N$28)+(Constants!$N$29*H14)+(J14/'Bdgt Yr 1'!B14*I14*Constants!$N$28)),0)</f>
        <v>0</v>
      </c>
      <c r="M14" s="57">
        <f t="shared" si="1"/>
        <v>0</v>
      </c>
      <c r="N14" s="240">
        <f>'Cost-Share'!AB8</f>
        <v>0</v>
      </c>
      <c r="O14" s="238">
        <f>'Cost-Share'!AC8</f>
        <v>0</v>
      </c>
      <c r="P14" s="270">
        <f>'Cost-Share'!AD8</f>
        <v>0</v>
      </c>
      <c r="R14" s="420">
        <f t="shared" si="2"/>
        <v>0</v>
      </c>
      <c r="S14" s="421">
        <f t="shared" si="3"/>
        <v>0</v>
      </c>
      <c r="T14" s="421">
        <f t="shared" si="4"/>
        <v>0</v>
      </c>
      <c r="U14" s="422" t="str">
        <f t="shared" si="0"/>
        <v>-</v>
      </c>
    </row>
    <row r="15" spans="2:21">
      <c r="B15" s="492" t="str">
        <f>IF(ISBLANK('Bdgt Yr 1'!B15),"",'Bdgt Yr 1'!B15)</f>
        <v/>
      </c>
      <c r="C15" s="417" t="str">
        <f>IF(ISBLANK('Bdgt Yr 1'!C15),"",'Bdgt Yr 1'!C15)</f>
        <v/>
      </c>
      <c r="D15" s="693" t="str">
        <f>IF(ISBLANK('Bdgt Yr 1'!D15),"",'Bdgt Yr 1'!D15)</f>
        <v/>
      </c>
      <c r="E15" s="493" t="str">
        <f>T('Bdgt Yr 1'!E15)</f>
        <v/>
      </c>
      <c r="F15" s="986">
        <v>0</v>
      </c>
      <c r="G15" s="987"/>
      <c r="H15" s="362">
        <f>IF(ISBLANK('Bdgt Yr 1'!B15),0,(F15/'Bdgt Yr 1'!B15))</f>
        <v>0</v>
      </c>
      <c r="I15" s="26">
        <v>0</v>
      </c>
      <c r="J15" s="25">
        <f>'Bdgt Yr 2'!J15*(1+'Budget Summary'!$G$35)</f>
        <v>0</v>
      </c>
      <c r="K15" s="507">
        <f>IF(ISBLANK('Bdgt Yr 1'!B15),0,ROUNDUP((J15*H15)+(J15/'Bdgt Yr 1'!B15)*I15,0))</f>
        <v>0</v>
      </c>
      <c r="L15" s="28" cm="1">
        <f t="array" ref="L15">ROUNDUP(_xlfn.IFS(ISBLANK('Bdgt Yr 1'!B15),0,OR(C15="ORP",K15=0),(J15*H15*Constants!$N$14)+(Constants!$N$15*H15)+(J15/'Bdgt Yr 1'!B15*I15*Constants!$N$14),OR(C15="TSERS",K15=0),(J15*H15*Constants!$N$7)+(Constants!$N$8*H15)+(J15/'Bdgt Yr 1'!B15*I15*Constants!$N$7),OR(C15="Law Enforcement",K15=0),(J15*H15*Constants!$N$28)+(Constants!$N$29*H15)+(J15/'Bdgt Yr 1'!B15*I15*Constants!$N$28)),0)</f>
        <v>0</v>
      </c>
      <c r="M15" s="57">
        <f t="shared" si="1"/>
        <v>0</v>
      </c>
      <c r="N15" s="240">
        <f>'Cost-Share'!AB9</f>
        <v>0</v>
      </c>
      <c r="O15" s="238">
        <f>'Cost-Share'!AC9</f>
        <v>0</v>
      </c>
      <c r="P15" s="270">
        <f>'Cost-Share'!AD9</f>
        <v>0</v>
      </c>
      <c r="R15" s="420">
        <f t="shared" si="2"/>
        <v>0</v>
      </c>
      <c r="S15" s="421">
        <f t="shared" si="3"/>
        <v>0</v>
      </c>
      <c r="T15" s="421">
        <f t="shared" si="4"/>
        <v>0</v>
      </c>
      <c r="U15" s="422" t="str">
        <f t="shared" si="0"/>
        <v>-</v>
      </c>
    </row>
    <row r="16" spans="2:21">
      <c r="B16" s="492" t="str">
        <f>IF(ISBLANK('Bdgt Yr 1'!B16),"",'Bdgt Yr 1'!B16)</f>
        <v/>
      </c>
      <c r="C16" s="417" t="str">
        <f>IF(ISBLANK('Bdgt Yr 1'!C16),"",'Bdgt Yr 1'!C16)</f>
        <v/>
      </c>
      <c r="D16" s="693" t="str">
        <f>IF(ISBLANK('Bdgt Yr 1'!D16),"",'Bdgt Yr 1'!D16)</f>
        <v/>
      </c>
      <c r="E16" s="493" t="str">
        <f>T('Bdgt Yr 1'!E16)</f>
        <v/>
      </c>
      <c r="F16" s="986">
        <v>0</v>
      </c>
      <c r="G16" s="987"/>
      <c r="H16" s="362">
        <f>IF(ISBLANK('Bdgt Yr 1'!B16),0,(F16/'Bdgt Yr 1'!B16))</f>
        <v>0</v>
      </c>
      <c r="I16" s="425">
        <v>0</v>
      </c>
      <c r="J16" s="25">
        <f>'Bdgt Yr 2'!J16*(1+'Budget Summary'!$G$35)</f>
        <v>0</v>
      </c>
      <c r="K16" s="507">
        <f>IF(ISBLANK('Bdgt Yr 1'!B16),0,ROUNDUP((J16*H16)+(J16/'Bdgt Yr 1'!B16)*I16,0))</f>
        <v>0</v>
      </c>
      <c r="L16" s="28" cm="1">
        <f t="array" ref="L16">ROUNDUP(_xlfn.IFS(ISBLANK('Bdgt Yr 1'!B16),0,OR(C16="ORP",K16=0),(J16*H16*Constants!$N$14)+(Constants!$N$15*H16)+(J16/'Bdgt Yr 1'!B16*I16*Constants!$N$14),OR(C16="TSERS",K16=0),(J16*H16*Constants!$N$7)+(Constants!$N$8*H16)+(J16/'Bdgt Yr 1'!B16*I16*Constants!$N$7),OR(C16="Law Enforcement",K16=0),(J16*H16*Constants!$N$28)+(Constants!$N$29*H16)+(J16/'Bdgt Yr 1'!B16*I16*Constants!$N$28)),0)</f>
        <v>0</v>
      </c>
      <c r="M16" s="57">
        <f t="shared" si="1"/>
        <v>0</v>
      </c>
      <c r="N16" s="240">
        <f>'Cost-Share'!AB10</f>
        <v>0</v>
      </c>
      <c r="O16" s="238">
        <f>'Cost-Share'!AC10</f>
        <v>0</v>
      </c>
      <c r="P16" s="270">
        <f>'Cost-Share'!AD10</f>
        <v>0</v>
      </c>
      <c r="R16" s="420">
        <f t="shared" si="2"/>
        <v>0</v>
      </c>
      <c r="S16" s="421">
        <f t="shared" si="3"/>
        <v>0</v>
      </c>
      <c r="T16" s="421">
        <f t="shared" si="4"/>
        <v>0</v>
      </c>
      <c r="U16" s="422" t="str">
        <f t="shared" si="0"/>
        <v>-</v>
      </c>
    </row>
    <row r="17" spans="2:21">
      <c r="B17" s="492" t="str">
        <f>IF(ISBLANK('Bdgt Yr 1'!B17),"",'Bdgt Yr 1'!B17)</f>
        <v/>
      </c>
      <c r="C17" s="417" t="str">
        <f>IF(ISBLANK('Bdgt Yr 1'!C17),"",'Bdgt Yr 1'!C17)</f>
        <v/>
      </c>
      <c r="D17" s="693" t="str">
        <f>IF(ISBLANK('Bdgt Yr 1'!D17),"",'Bdgt Yr 1'!D17)</f>
        <v/>
      </c>
      <c r="E17" s="493" t="str">
        <f>T('Bdgt Yr 1'!E17)</f>
        <v/>
      </c>
      <c r="F17" s="986">
        <v>0</v>
      </c>
      <c r="G17" s="987"/>
      <c r="H17" s="362">
        <f>IF(ISBLANK('Bdgt Yr 1'!B17),0,(F17/'Bdgt Yr 1'!B17))</f>
        <v>0</v>
      </c>
      <c r="I17" s="425">
        <v>0</v>
      </c>
      <c r="J17" s="25">
        <f>'Bdgt Yr 2'!J17*(1+'Budget Summary'!$G$35)</f>
        <v>0</v>
      </c>
      <c r="K17" s="507">
        <f>IF(ISBLANK('Bdgt Yr 1'!B17),0,ROUNDUP((J17*H17)+(J17/'Bdgt Yr 1'!B17)*I17,0))</f>
        <v>0</v>
      </c>
      <c r="L17" s="28" cm="1">
        <f t="array" ref="L17">ROUNDUP(_xlfn.IFS(ISBLANK('Bdgt Yr 1'!B17),0,OR(C17="ORP",K17=0),(J17*H17*Constants!$N$14)+(Constants!$N$15*H17)+(J17/'Bdgt Yr 1'!B17*I17*Constants!$N$14),OR(C17="TSERS",K17=0),(J17*H17*Constants!$N$7)+(Constants!$N$8*H17)+(J17/'Bdgt Yr 1'!B17*I17*Constants!$N$7),OR(C17="Law Enforcement",K17=0),(J17*H17*Constants!$N$28)+(Constants!$N$29*H17)+(J17/'Bdgt Yr 1'!B17*I17*Constants!$N$28)),0)</f>
        <v>0</v>
      </c>
      <c r="M17" s="57">
        <f t="shared" si="1"/>
        <v>0</v>
      </c>
      <c r="N17" s="240">
        <f>'Cost-Share'!AB11</f>
        <v>0</v>
      </c>
      <c r="O17" s="238">
        <f>'Cost-Share'!AC11</f>
        <v>0</v>
      </c>
      <c r="P17" s="270">
        <f>'Cost-Share'!AD11</f>
        <v>0</v>
      </c>
      <c r="R17" s="420">
        <f t="shared" si="2"/>
        <v>0</v>
      </c>
      <c r="S17" s="421">
        <f t="shared" si="3"/>
        <v>0</v>
      </c>
      <c r="T17" s="421">
        <f t="shared" si="4"/>
        <v>0</v>
      </c>
      <c r="U17" s="422" t="str">
        <f t="shared" si="0"/>
        <v>-</v>
      </c>
    </row>
    <row r="18" spans="2:21">
      <c r="B18" s="492" t="str">
        <f>IF(ISBLANK('Bdgt Yr 1'!B18),"",'Bdgt Yr 1'!B18)</f>
        <v/>
      </c>
      <c r="C18" s="417" t="str">
        <f>IF(ISBLANK('Bdgt Yr 1'!C18),"",'Bdgt Yr 1'!C18)</f>
        <v/>
      </c>
      <c r="D18" s="693" t="str">
        <f>IF(ISBLANK('Bdgt Yr 1'!D18),"",'Bdgt Yr 1'!D18)</f>
        <v/>
      </c>
      <c r="E18" s="493" t="str">
        <f>T('Bdgt Yr 1'!E18)</f>
        <v/>
      </c>
      <c r="F18" s="986">
        <v>0</v>
      </c>
      <c r="G18" s="987"/>
      <c r="H18" s="362">
        <f>IF(ISBLANK('Bdgt Yr 1'!B18),0,(F18/'Bdgt Yr 1'!B18))</f>
        <v>0</v>
      </c>
      <c r="I18" s="425">
        <v>0</v>
      </c>
      <c r="J18" s="25">
        <f>'Bdgt Yr 2'!J18*(1+'Budget Summary'!$G$35)</f>
        <v>0</v>
      </c>
      <c r="K18" s="507">
        <f>IF(ISBLANK('Bdgt Yr 1'!B18),0,ROUNDUP((J18*H18)+(J18/'Bdgt Yr 1'!B18)*I18,0))</f>
        <v>0</v>
      </c>
      <c r="L18" s="28" cm="1">
        <f t="array" ref="L18">ROUNDUP(_xlfn.IFS(ISBLANK('Bdgt Yr 1'!B18),0,OR(C18="ORP",K18=0),(J18*H18*Constants!$N$14)+(Constants!$N$15*H18)+(J18/'Bdgt Yr 1'!B18*I18*Constants!$N$14),OR(C18="TSERS",K18=0),(J18*H18*Constants!$N$7)+(Constants!$N$8*H18)+(J18/'Bdgt Yr 1'!B18*I18*Constants!$N$7),OR(C18="Law Enforcement",K18=0),(J18*H18*Constants!$N$28)+(Constants!$N$29*H18)+(J18/'Bdgt Yr 1'!B18*I18*Constants!$N$28)),0)</f>
        <v>0</v>
      </c>
      <c r="M18" s="57">
        <f t="shared" si="1"/>
        <v>0</v>
      </c>
      <c r="N18" s="240">
        <f>'Cost-Share'!AB12</f>
        <v>0</v>
      </c>
      <c r="O18" s="238">
        <f>'Cost-Share'!AC12</f>
        <v>0</v>
      </c>
      <c r="P18" s="270">
        <f>'Cost-Share'!AD12</f>
        <v>0</v>
      </c>
      <c r="Q18" s="494"/>
      <c r="R18" s="420">
        <f t="shared" si="2"/>
        <v>0</v>
      </c>
      <c r="S18" s="421">
        <f t="shared" si="3"/>
        <v>0</v>
      </c>
      <c r="T18" s="421">
        <f t="shared" si="4"/>
        <v>0</v>
      </c>
      <c r="U18" s="422" t="str">
        <f t="shared" ref="U18:U22" si="5">IFERROR((P20/T18),"-")</f>
        <v>-</v>
      </c>
    </row>
    <row r="19" spans="2:21">
      <c r="B19" s="492" t="str">
        <f>IF(ISBLANK('Bdgt Yr 1'!B19),"",'Bdgt Yr 1'!B19)</f>
        <v/>
      </c>
      <c r="C19" s="417" t="str">
        <f>IF(ISBLANK('Bdgt Yr 1'!C19),"",'Bdgt Yr 1'!C19)</f>
        <v/>
      </c>
      <c r="D19" s="693" t="str">
        <f>IF(ISBLANK('Bdgt Yr 1'!D19),"",'Bdgt Yr 1'!D19)</f>
        <v/>
      </c>
      <c r="E19" s="493" t="str">
        <f>T('Bdgt Yr 1'!E19)</f>
        <v/>
      </c>
      <c r="F19" s="986">
        <v>0</v>
      </c>
      <c r="G19" s="987"/>
      <c r="H19" s="362">
        <f>IF(ISBLANK('Bdgt Yr 1'!B19),0,(F19/'Bdgt Yr 1'!B19))</f>
        <v>0</v>
      </c>
      <c r="I19" s="26">
        <v>0</v>
      </c>
      <c r="J19" s="25">
        <f>'Bdgt Yr 2'!J19*(1+'Budget Summary'!$G$35)</f>
        <v>0</v>
      </c>
      <c r="K19" s="507">
        <f>IF(ISBLANK('Bdgt Yr 1'!B19),0,ROUNDUP((J19*H19)+(J19/'Bdgt Yr 1'!B19)*I19,0))</f>
        <v>0</v>
      </c>
      <c r="L19" s="28" cm="1">
        <f t="array" ref="L19">ROUNDUP(_xlfn.IFS(ISBLANK('Bdgt Yr 1'!B19),0,OR(C19="ORP",K19=0),(J19*H19*Constants!$N$14)+(Constants!$N$15*H19)+(J19/'Bdgt Yr 1'!B19*I19*Constants!$N$14),OR(C19="TSERS",K19=0),(J19*H19*Constants!$N$7)+(Constants!$N$8*H19)+(J19/'Bdgt Yr 1'!B19*I19*Constants!$N$7),OR(C19="Law Enforcement",K19=0),(J19*H19*Constants!$N$28)+(Constants!$N$29*H19)+(J19/'Bdgt Yr 1'!B19*I19*Constants!$N$28)),0)</f>
        <v>0</v>
      </c>
      <c r="M19" s="57">
        <f t="shared" si="1"/>
        <v>0</v>
      </c>
      <c r="N19" s="240">
        <f>'Cost-Share'!AB13</f>
        <v>0</v>
      </c>
      <c r="O19" s="238">
        <f>'Cost-Share'!AC13</f>
        <v>0</v>
      </c>
      <c r="P19" s="270">
        <f>'Cost-Share'!AD13</f>
        <v>0</v>
      </c>
      <c r="R19" s="420">
        <f t="shared" si="2"/>
        <v>0</v>
      </c>
      <c r="S19" s="421">
        <f t="shared" si="3"/>
        <v>0</v>
      </c>
      <c r="T19" s="421">
        <f t="shared" si="4"/>
        <v>0</v>
      </c>
      <c r="U19" s="422" t="str">
        <f t="shared" si="5"/>
        <v>-</v>
      </c>
    </row>
    <row r="20" spans="2:21">
      <c r="B20" s="492" t="str">
        <f>IF(ISBLANK('Bdgt Yr 1'!B20),"",'Bdgt Yr 1'!B20)</f>
        <v/>
      </c>
      <c r="C20" s="417" t="str">
        <f>IF(ISBLANK('Bdgt Yr 1'!C20),"",'Bdgt Yr 1'!C20)</f>
        <v/>
      </c>
      <c r="D20" s="693" t="str">
        <f>IF(ISBLANK('Bdgt Yr 1'!D20),"",'Bdgt Yr 1'!D20)</f>
        <v/>
      </c>
      <c r="E20" s="493" t="str">
        <f>T('Bdgt Yr 1'!E20)</f>
        <v/>
      </c>
      <c r="F20" s="986">
        <v>0</v>
      </c>
      <c r="G20" s="987"/>
      <c r="H20" s="362">
        <f>IF(ISBLANK('Bdgt Yr 1'!B20),0,(F20/'Bdgt Yr 1'!B20))</f>
        <v>0</v>
      </c>
      <c r="I20" s="427">
        <v>0</v>
      </c>
      <c r="J20" s="25">
        <f>'Bdgt Yr 2'!J20*(1+'Budget Summary'!$G$35)</f>
        <v>0</v>
      </c>
      <c r="K20" s="507">
        <f>IF(ISBLANK('Bdgt Yr 1'!B20),0,ROUNDUP((J20*H20)+(J20/'Bdgt Yr 1'!B20)*I20,0))</f>
        <v>0</v>
      </c>
      <c r="L20" s="28" cm="1">
        <f t="array" ref="L20">ROUNDUP(_xlfn.IFS(ISBLANK('Bdgt Yr 1'!B20),0,OR(C20="ORP",K20=0),(J20*H20*Constants!$N$14)+(Constants!$N$15*H20)+(J20/'Bdgt Yr 1'!B20*I20*Constants!$N$14),OR(C20="TSERS",K20=0),(J20*H20*Constants!$N$7)+(Constants!$N$8*H20)+(J20/'Bdgt Yr 1'!B20*I20*Constants!$N$7),OR(C20="Law Enforcement",K20=0),(J20*H20*Constants!$N$28)+(Constants!$N$29*H20)+(J20/'Bdgt Yr 1'!B20*I20*Constants!$N$28)),0)</f>
        <v>0</v>
      </c>
      <c r="M20" s="57">
        <f t="shared" si="1"/>
        <v>0</v>
      </c>
      <c r="N20" s="240">
        <f>'Cost-Share'!AB14</f>
        <v>0</v>
      </c>
      <c r="O20" s="238">
        <f>'Cost-Share'!AC14</f>
        <v>0</v>
      </c>
      <c r="P20" s="270">
        <f>'Cost-Share'!AD14</f>
        <v>0</v>
      </c>
      <c r="R20" s="420">
        <f t="shared" si="2"/>
        <v>0</v>
      </c>
      <c r="S20" s="421">
        <f t="shared" si="3"/>
        <v>0</v>
      </c>
      <c r="T20" s="421">
        <f t="shared" si="4"/>
        <v>0</v>
      </c>
      <c r="U20" s="422" t="str">
        <f t="shared" si="5"/>
        <v>-</v>
      </c>
    </row>
    <row r="21" spans="2:21">
      <c r="B21" s="492" t="str">
        <f>IF(ISBLANK('Bdgt Yr 1'!B21),"",'Bdgt Yr 1'!B21)</f>
        <v/>
      </c>
      <c r="C21" s="417" t="str">
        <f>IF(ISBLANK('Bdgt Yr 1'!C21),"",'Bdgt Yr 1'!C21)</f>
        <v/>
      </c>
      <c r="D21" s="693" t="str">
        <f>IF(ISBLANK('Bdgt Yr 1'!D21),"",'Bdgt Yr 1'!D21)</f>
        <v/>
      </c>
      <c r="E21" s="493" t="str">
        <f>T('Bdgt Yr 1'!E21)</f>
        <v/>
      </c>
      <c r="F21" s="992">
        <v>0</v>
      </c>
      <c r="G21" s="993"/>
      <c r="H21" s="362">
        <f>IF(ISBLANK('Bdgt Yr 1'!B21),0,(F21/'Bdgt Yr 1'!B21))</f>
        <v>0</v>
      </c>
      <c r="I21" s="428">
        <v>0</v>
      </c>
      <c r="J21" s="25">
        <f>'Bdgt Yr 2'!J21*(1+'Budget Summary'!$G$35)</f>
        <v>0</v>
      </c>
      <c r="K21" s="507">
        <f>IF(ISBLANK('Bdgt Yr 1'!B21),0,ROUNDUP((J21*H21)+(J21/'Bdgt Yr 1'!B21)*I21,0))</f>
        <v>0</v>
      </c>
      <c r="L21" s="28" cm="1">
        <f t="array" ref="L21">ROUNDUP(_xlfn.IFS(ISBLANK('Bdgt Yr 1'!B21),0,OR(C21="ORP",K21=0),(J21*H21*Constants!$N$14)+(Constants!$N$15*H21)+(J21/'Bdgt Yr 1'!B21*I21*Constants!$N$14),OR(C21="TSERS",K21=0),(J21*H21*Constants!$N$7)+(Constants!$N$8*H21)+(J21/'Bdgt Yr 1'!B21*I21*Constants!$N$7),OR(C21="Law Enforcement",K21=0),(J21*H21*Constants!$N$28)+(Constants!$N$29*H21)+(J21/'Bdgt Yr 1'!B21*I21*Constants!$N$28)),0)</f>
        <v>0</v>
      </c>
      <c r="M21" s="57">
        <f t="shared" si="1"/>
        <v>0</v>
      </c>
      <c r="N21" s="240">
        <f>'Cost-Share'!AB15</f>
        <v>0</v>
      </c>
      <c r="O21" s="238">
        <f>'Cost-Share'!AC15</f>
        <v>0</v>
      </c>
      <c r="P21" s="270">
        <f>'Cost-Share'!AD15</f>
        <v>0</v>
      </c>
      <c r="R21" s="420">
        <f t="shared" si="2"/>
        <v>0</v>
      </c>
      <c r="S21" s="421">
        <f t="shared" si="3"/>
        <v>0</v>
      </c>
      <c r="T21" s="421">
        <f t="shared" si="4"/>
        <v>0</v>
      </c>
      <c r="U21" s="422" t="str">
        <f t="shared" si="5"/>
        <v>-</v>
      </c>
    </row>
    <row r="22" spans="2:21">
      <c r="B22" s="492" t="str">
        <f>IF(ISBLANK('Bdgt Yr 1'!B22),"",'Bdgt Yr 1'!B22)</f>
        <v/>
      </c>
      <c r="C22" s="417" t="str">
        <f>IF(ISBLANK('Bdgt Yr 1'!C22),"",'Bdgt Yr 1'!C22)</f>
        <v/>
      </c>
      <c r="D22" s="693" t="str">
        <f>IF(ISBLANK('Bdgt Yr 1'!D22),"",'Bdgt Yr 1'!D22)</f>
        <v/>
      </c>
      <c r="E22" s="493" t="str">
        <f>T('Bdgt Yr 1'!E22)</f>
        <v xml:space="preserve"> </v>
      </c>
      <c r="F22" s="992">
        <v>0</v>
      </c>
      <c r="G22" s="993"/>
      <c r="H22" s="362">
        <f>IF(ISBLANK('Bdgt Yr 1'!B22),0,(F22/'Bdgt Yr 1'!B22))</f>
        <v>0</v>
      </c>
      <c r="I22" s="429">
        <v>0</v>
      </c>
      <c r="J22" s="25">
        <f>'Bdgt Yr 2'!J22*(1+'Budget Summary'!$G$35)</f>
        <v>0</v>
      </c>
      <c r="K22" s="507">
        <f>IF(ISBLANK('Bdgt Yr 1'!B22),0,ROUNDUP((J22*H22)+(J22/'Bdgt Yr 1'!B22)*I22,0))</f>
        <v>0</v>
      </c>
      <c r="L22" s="28" cm="1">
        <f t="array" ref="L22">ROUNDUP(_xlfn.IFS(ISBLANK('Bdgt Yr 1'!B22),0,OR(C22="ORP",K22=0),(J22*H22*Constants!$N$14)+(Constants!$N$15*H22)+(J22/'Bdgt Yr 1'!B22*I22*Constants!$N$14),OR(C22="TSERS",K22=0),(J22*H22*Constants!$N$7)+(Constants!$N$8*H22)+(J22/'Bdgt Yr 1'!B22*I22*Constants!$N$7),OR(C22="Law Enforcement",K22=0),(J22*H22*Constants!$N$28)+(Constants!$N$29*H22)+(J22/'Bdgt Yr 1'!B22*I22*Constants!$N$28)),0)</f>
        <v>0</v>
      </c>
      <c r="M22" s="57">
        <f t="shared" si="1"/>
        <v>0</v>
      </c>
      <c r="N22" s="240">
        <f>'Cost-Share'!AB16</f>
        <v>0</v>
      </c>
      <c r="O22" s="238">
        <f>'Cost-Share'!AC16</f>
        <v>0</v>
      </c>
      <c r="P22" s="270">
        <f>'Cost-Share'!AD16</f>
        <v>0</v>
      </c>
      <c r="R22" s="420">
        <f t="shared" si="2"/>
        <v>0</v>
      </c>
      <c r="S22" s="421">
        <f t="shared" si="3"/>
        <v>0</v>
      </c>
      <c r="T22" s="421">
        <f t="shared" si="4"/>
        <v>0</v>
      </c>
      <c r="U22" s="422" t="str">
        <f t="shared" si="5"/>
        <v>-</v>
      </c>
    </row>
    <row r="23" spans="2:21" ht="15" customHeight="1">
      <c r="B23" s="492" t="str">
        <f>IF(ISBLANK('Bdgt Yr 1'!B23),"",'Bdgt Yr 1'!B23)</f>
        <v/>
      </c>
      <c r="C23" s="417" t="str">
        <f>IF(ISBLANK('Bdgt Yr 1'!C23),"",'Bdgt Yr 1'!C23)</f>
        <v/>
      </c>
      <c r="D23" s="693" t="str">
        <f>IF(ISBLANK('Bdgt Yr 1'!D23),"",'Bdgt Yr 1'!D23)</f>
        <v/>
      </c>
      <c r="E23" s="493" t="str">
        <f>T('Bdgt Yr 1'!E23)</f>
        <v/>
      </c>
      <c r="F23" s="994">
        <v>0</v>
      </c>
      <c r="G23" s="995"/>
      <c r="H23" s="362">
        <f>IF(ISBLANK('Bdgt Yr 1'!B23),0,(F23/'Bdgt Yr 1'!B23))</f>
        <v>0</v>
      </c>
      <c r="I23" s="432">
        <v>0</v>
      </c>
      <c r="J23" s="25">
        <f>'Bdgt Yr 2'!J23*(1+'Budget Summary'!$G$35)</f>
        <v>0</v>
      </c>
      <c r="K23" s="507">
        <f>IF(ISBLANK('Bdgt Yr 1'!B23),0,ROUNDUP((J23*H23)+(J23/'Bdgt Yr 1'!B23)*I23,0))</f>
        <v>0</v>
      </c>
      <c r="L23" s="28" cm="1">
        <f t="array" ref="L23">ROUNDUP(_xlfn.IFS(ISBLANK('Bdgt Yr 1'!B23),0,OR(C23="ORP",K23=0),(J23*H23*Constants!$N$14)+(Constants!$N$15*H23)+(J23/'Bdgt Yr 1'!B23*I23*Constants!$N$14),OR(C23="TSERS",K23=0),(J23*H23*Constants!$N$7)+(Constants!$N$8*H23)+(J23/'Bdgt Yr 1'!B23*I23*Constants!$N$7),OR(C23="Law Enforcement",K23=0),(J23*H23*Constants!$N$28)+(Constants!$N$29*H23)+(J23/'Bdgt Yr 1'!B23*I23*Constants!$N$28)),0)</f>
        <v>0</v>
      </c>
      <c r="M23" s="58">
        <f t="shared" si="1"/>
        <v>0</v>
      </c>
      <c r="N23" s="240">
        <f>'Cost-Share'!AB17</f>
        <v>0</v>
      </c>
      <c r="O23" s="238">
        <f>'Cost-Share'!AC17</f>
        <v>0</v>
      </c>
      <c r="P23" s="270">
        <f>'Cost-Share'!AD17</f>
        <v>0</v>
      </c>
      <c r="R23" s="420">
        <f t="shared" si="2"/>
        <v>0</v>
      </c>
      <c r="S23" s="421">
        <f t="shared" si="3"/>
        <v>0</v>
      </c>
      <c r="T23" s="421">
        <f t="shared" si="4"/>
        <v>0</v>
      </c>
      <c r="U23" s="422" t="str">
        <f>IFERROR((#REF!/T23),"-")</f>
        <v>-</v>
      </c>
    </row>
    <row r="24" spans="2:21" ht="15" thickBot="1">
      <c r="B24" s="990" t="s">
        <v>155</v>
      </c>
      <c r="C24" s="991"/>
      <c r="D24" s="991"/>
      <c r="E24" s="991"/>
      <c r="F24" s="991"/>
      <c r="G24" s="991"/>
      <c r="H24" s="991"/>
      <c r="I24" s="991"/>
      <c r="J24" s="991"/>
      <c r="K24" s="276">
        <f t="shared" ref="K24:P24" si="6">SUM(K12:K23)</f>
        <v>0</v>
      </c>
      <c r="L24" s="277">
        <f t="shared" si="6"/>
        <v>0</v>
      </c>
      <c r="M24" s="278">
        <f t="shared" si="6"/>
        <v>0</v>
      </c>
      <c r="N24" s="272">
        <f t="shared" si="6"/>
        <v>0</v>
      </c>
      <c r="O24" s="273">
        <f t="shared" si="6"/>
        <v>0</v>
      </c>
      <c r="P24" s="274">
        <f t="shared" si="6"/>
        <v>0</v>
      </c>
      <c r="R24" s="434">
        <f>SUM(R12:R23)</f>
        <v>0</v>
      </c>
      <c r="S24" s="435">
        <f>SUM(S12:S23)</f>
        <v>0</v>
      </c>
      <c r="T24" s="435">
        <f>SUM(T12:T23)</f>
        <v>0</v>
      </c>
      <c r="U24" s="436"/>
    </row>
    <row r="25" spans="2:21" ht="7.5" customHeight="1">
      <c r="B25" s="960"/>
      <c r="C25" s="960"/>
      <c r="D25" s="960"/>
      <c r="E25" s="960"/>
      <c r="F25" s="960"/>
      <c r="G25" s="960"/>
      <c r="H25" s="960"/>
      <c r="I25" s="960"/>
      <c r="J25" s="960"/>
      <c r="K25" s="960"/>
      <c r="L25" s="960"/>
      <c r="M25" s="960"/>
    </row>
    <row r="26" spans="2:21" s="398" customFormat="1" ht="15.75" customHeight="1" thickBot="1">
      <c r="B26" s="985" t="s">
        <v>156</v>
      </c>
      <c r="C26" s="985"/>
      <c r="D26" s="985"/>
      <c r="E26" s="985"/>
      <c r="F26" s="985"/>
      <c r="G26" s="985"/>
      <c r="H26" s="985"/>
      <c r="I26" s="985"/>
      <c r="J26" s="985"/>
      <c r="K26" s="985"/>
      <c r="L26" s="985"/>
      <c r="M26" s="985"/>
      <c r="N26" s="985"/>
      <c r="O26" s="985"/>
      <c r="P26" s="985"/>
      <c r="Q26" s="23"/>
      <c r="R26" s="974"/>
      <c r="S26" s="974"/>
      <c r="T26" s="974"/>
      <c r="U26" s="974"/>
    </row>
    <row r="27" spans="2:21" ht="7.5" customHeight="1">
      <c r="B27" s="960"/>
      <c r="C27" s="960"/>
      <c r="D27" s="960"/>
      <c r="E27" s="960"/>
      <c r="F27" s="960"/>
      <c r="G27" s="960"/>
      <c r="H27" s="960"/>
      <c r="I27" s="960"/>
      <c r="J27" s="960"/>
      <c r="K27" s="960"/>
      <c r="L27" s="960"/>
      <c r="M27" s="960"/>
    </row>
    <row r="28" spans="2:21" ht="28.5" customHeight="1">
      <c r="B28" s="988" t="s">
        <v>157</v>
      </c>
      <c r="C28" s="989"/>
      <c r="D28" s="989"/>
      <c r="E28" s="989"/>
      <c r="F28" s="989"/>
      <c r="G28" s="989"/>
      <c r="H28" s="989"/>
      <c r="I28" s="989"/>
      <c r="J28" s="989"/>
      <c r="K28" s="989"/>
      <c r="L28" s="989"/>
      <c r="M28" s="1089"/>
      <c r="N28" s="1043" t="s">
        <v>134</v>
      </c>
      <c r="O28" s="1044"/>
      <c r="P28" s="1045"/>
      <c r="R28" s="975" t="s">
        <v>135</v>
      </c>
      <c r="S28" s="976"/>
      <c r="T28" s="976"/>
      <c r="U28" s="977"/>
    </row>
    <row r="29" spans="2:21" ht="29.25" customHeight="1">
      <c r="B29" s="980" t="s">
        <v>158</v>
      </c>
      <c r="C29" s="981"/>
      <c r="D29" s="1519" t="s">
        <v>159</v>
      </c>
      <c r="E29" s="1520"/>
      <c r="F29" s="1520"/>
      <c r="G29" s="1521"/>
      <c r="H29" s="229" t="s">
        <v>140</v>
      </c>
      <c r="I29" s="437" t="s">
        <v>160</v>
      </c>
      <c r="J29" s="438" t="s">
        <v>143</v>
      </c>
      <c r="K29" s="439" t="s">
        <v>161</v>
      </c>
      <c r="L29" s="439" t="s">
        <v>145</v>
      </c>
      <c r="M29" s="530" t="s">
        <v>146</v>
      </c>
      <c r="N29" s="263" t="s">
        <v>147</v>
      </c>
      <c r="O29" s="239" t="s">
        <v>148</v>
      </c>
      <c r="P29" s="271" t="s">
        <v>149</v>
      </c>
      <c r="R29" s="414" t="s">
        <v>150</v>
      </c>
      <c r="S29" s="415" t="s">
        <v>151</v>
      </c>
      <c r="T29" s="415" t="s">
        <v>152</v>
      </c>
      <c r="U29" s="441" t="s">
        <v>153</v>
      </c>
    </row>
    <row r="30" spans="2:21" ht="15" customHeight="1">
      <c r="B30" s="982" t="str">
        <f>'Bdgt Yr 1'!B30</f>
        <v>Non-Student Temp - 131010</v>
      </c>
      <c r="C30" s="983"/>
      <c r="D30" s="1129" t="str">
        <f>T('Bdgt Yr 1'!D30)</f>
        <v xml:space="preserve"> </v>
      </c>
      <c r="E30" s="1130"/>
      <c r="F30" s="1130"/>
      <c r="G30" s="1131"/>
      <c r="H30" s="443">
        <v>0</v>
      </c>
      <c r="I30" s="495">
        <f>H30/12</f>
        <v>0</v>
      </c>
      <c r="J30" s="25">
        <f>'Bdgt Yr 2'!J30*(1+'Budget Summary'!$G$35)</f>
        <v>0</v>
      </c>
      <c r="K30" s="337">
        <f>J30*I30</f>
        <v>0</v>
      </c>
      <c r="L30" s="34">
        <f>ROUNDUP(IF(I30=0, Constants!$N$21*H30, 0) + (K30*Constants!$N$20) + (Constants!$N$21*ROUNDUP(H30, 0)), 0)</f>
        <v>0</v>
      </c>
      <c r="M30" s="138">
        <f>(+K30+L30)</f>
        <v>0</v>
      </c>
      <c r="N30" s="240">
        <f>'Cost-Share'!AB21</f>
        <v>0</v>
      </c>
      <c r="O30" s="238">
        <f>'Cost-Share'!AC21</f>
        <v>0</v>
      </c>
      <c r="P30" s="270">
        <f>'Cost-Share'!AD21</f>
        <v>0</v>
      </c>
      <c r="R30" s="420">
        <f>K30+N30</f>
        <v>0</v>
      </c>
      <c r="S30" s="421">
        <f>L30+O30</f>
        <v>0</v>
      </c>
      <c r="T30" s="421">
        <f>M30+P30</f>
        <v>0</v>
      </c>
      <c r="U30" s="422" t="str">
        <f>IFERROR((P37/T30),"-")</f>
        <v>-</v>
      </c>
    </row>
    <row r="31" spans="2:21" ht="15.75" customHeight="1">
      <c r="B31" s="978" t="str">
        <f>'Bdgt Yr 1'!B31</f>
        <v>Non-Student Temp - 131010</v>
      </c>
      <c r="C31" s="979"/>
      <c r="D31" s="1132" t="str">
        <f>T('Bdgt Yr 1'!D31)</f>
        <v xml:space="preserve"> </v>
      </c>
      <c r="E31" s="1133"/>
      <c r="F31" s="1133"/>
      <c r="G31" s="1134"/>
      <c r="H31" s="531">
        <f>F31*12</f>
        <v>0</v>
      </c>
      <c r="I31" s="536">
        <f>H31/12</f>
        <v>0</v>
      </c>
      <c r="J31" s="537">
        <f>'Bdgt Yr 2'!J31*(1+'Budget Summary'!$G$35)</f>
        <v>0</v>
      </c>
      <c r="K31" s="534">
        <f>J31*I31</f>
        <v>0</v>
      </c>
      <c r="L31" s="697">
        <f>ROUNDUP(IF(I31=0, Constants!$N$21*H31, 0) + (K31*Constants!$N$20) + (Constants!$N$21*ROUNDUP(H31, 0)), 0)</f>
        <v>0</v>
      </c>
      <c r="M31" s="535">
        <f>(+K31+L31)</f>
        <v>0</v>
      </c>
      <c r="N31" s="538">
        <f>'Cost-Share'!AB22</f>
        <v>0</v>
      </c>
      <c r="O31" s="539">
        <f>'Cost-Share'!AC22</f>
        <v>0</v>
      </c>
      <c r="P31" s="540">
        <f>'Cost-Share'!AD22</f>
        <v>0</v>
      </c>
      <c r="R31" s="497">
        <f t="shared" ref="R31" si="7">K31+N31</f>
        <v>0</v>
      </c>
      <c r="S31" s="498">
        <f t="shared" ref="S31" si="8">L31+O31</f>
        <v>0</v>
      </c>
      <c r="T31" s="498">
        <f t="shared" ref="T31" si="9">M31+P31</f>
        <v>0</v>
      </c>
      <c r="U31" s="499" t="str">
        <f>IFERROR((P38/T31),"-")</f>
        <v>-</v>
      </c>
    </row>
    <row r="32" spans="2:21" ht="7.5" customHeight="1">
      <c r="B32" s="960"/>
      <c r="C32" s="960"/>
      <c r="D32" s="960"/>
      <c r="E32" s="960"/>
      <c r="F32" s="960"/>
      <c r="G32" s="960"/>
      <c r="H32" s="960"/>
      <c r="I32" s="960"/>
      <c r="J32" s="960"/>
      <c r="K32" s="960"/>
      <c r="L32" s="960"/>
      <c r="M32" s="960"/>
    </row>
    <row r="33" spans="2:23" s="398" customFormat="1" ht="15.75" customHeight="1" thickBot="1">
      <c r="B33" s="985" t="s">
        <v>163</v>
      </c>
      <c r="C33" s="985"/>
      <c r="D33" s="985"/>
      <c r="E33" s="985"/>
      <c r="F33" s="985"/>
      <c r="G33" s="985"/>
      <c r="H33" s="985"/>
      <c r="I33" s="985"/>
      <c r="J33" s="985"/>
      <c r="K33" s="985"/>
      <c r="L33" s="985"/>
      <c r="M33" s="985"/>
      <c r="N33" s="985"/>
      <c r="O33" s="985"/>
      <c r="P33" s="985"/>
      <c r="Q33" s="23"/>
      <c r="R33" s="974"/>
      <c r="S33" s="974"/>
      <c r="T33" s="974"/>
      <c r="U33" s="974"/>
    </row>
    <row r="34" spans="2:23" ht="7.5" customHeight="1" thickBot="1">
      <c r="B34" s="960"/>
      <c r="C34" s="960"/>
      <c r="D34" s="960"/>
      <c r="E34" s="960"/>
      <c r="F34" s="960"/>
      <c r="G34" s="960"/>
      <c r="H34" s="960"/>
      <c r="I34" s="960"/>
      <c r="J34" s="960"/>
      <c r="K34" s="960"/>
      <c r="L34" s="960"/>
      <c r="M34" s="960"/>
    </row>
    <row r="35" spans="2:23" ht="28.5" customHeight="1">
      <c r="B35" s="1098" t="s">
        <v>164</v>
      </c>
      <c r="C35" s="1135"/>
      <c r="D35" s="1135"/>
      <c r="E35" s="1135"/>
      <c r="F35" s="1135"/>
      <c r="G35" s="1135"/>
      <c r="H35" s="1135"/>
      <c r="I35" s="1135"/>
      <c r="J35" s="1135"/>
      <c r="K35" s="1135"/>
      <c r="L35" s="1135"/>
      <c r="M35" s="1136"/>
      <c r="N35" s="1093" t="s">
        <v>134</v>
      </c>
      <c r="O35" s="1094"/>
      <c r="P35" s="1095"/>
      <c r="Q35" s="410"/>
      <c r="R35" s="975" t="s">
        <v>135</v>
      </c>
      <c r="S35" s="976"/>
      <c r="T35" s="976"/>
      <c r="U35" s="977"/>
      <c r="V35" s="529"/>
      <c r="W35" s="528"/>
    </row>
    <row r="36" spans="2:23" ht="29.25" customHeight="1">
      <c r="B36" s="980" t="s">
        <v>158</v>
      </c>
      <c r="C36" s="981"/>
      <c r="D36" s="1528" t="s">
        <v>159</v>
      </c>
      <c r="E36" s="1529"/>
      <c r="F36" s="1529"/>
      <c r="G36" s="1530"/>
      <c r="H36" s="1001" t="s">
        <v>165</v>
      </c>
      <c r="I36" s="1002"/>
      <c r="J36" s="438" t="s">
        <v>166</v>
      </c>
      <c r="K36" s="439" t="s">
        <v>161</v>
      </c>
      <c r="L36" s="439" t="s">
        <v>145</v>
      </c>
      <c r="M36" s="440" t="s">
        <v>146</v>
      </c>
      <c r="N36" s="263" t="s">
        <v>147</v>
      </c>
      <c r="O36" s="239" t="s">
        <v>148</v>
      </c>
      <c r="P36" s="271" t="s">
        <v>149</v>
      </c>
      <c r="R36" s="414" t="s">
        <v>150</v>
      </c>
      <c r="S36" s="415" t="s">
        <v>151</v>
      </c>
      <c r="T36" s="415" t="s">
        <v>152</v>
      </c>
      <c r="U36" s="416" t="s">
        <v>153</v>
      </c>
    </row>
    <row r="37" spans="2:23" ht="15" customHeight="1">
      <c r="B37" s="982">
        <f>'Bdgt Yr 1'!B37</f>
        <v>131010</v>
      </c>
      <c r="C37" s="983"/>
      <c r="D37" s="1129" t="str">
        <f>T('Bdgt Yr 1'!D37)</f>
        <v xml:space="preserve"> </v>
      </c>
      <c r="E37" s="1130"/>
      <c r="F37" s="1130"/>
      <c r="G37" s="1131"/>
      <c r="H37" s="1003">
        <f>'Bdgt Yr 2'!H38*(1+'Budget Summary'!$G$35)</f>
        <v>0</v>
      </c>
      <c r="I37" s="1004"/>
      <c r="J37" s="25">
        <f>'Bdgt Yr 2'!J38*(1+'Budget Summary'!$G$35)</f>
        <v>0</v>
      </c>
      <c r="K37" s="34">
        <f>ROUNDUP((H37*J37),0)</f>
        <v>0</v>
      </c>
      <c r="L37" s="695">
        <f>ROUNDUP((K37*Constants!$N$20),0)</f>
        <v>0</v>
      </c>
      <c r="M37" s="59">
        <f>(+K37+L37)</f>
        <v>0</v>
      </c>
      <c r="N37" s="240">
        <f>'Cost-Share'!AB25</f>
        <v>0</v>
      </c>
      <c r="O37" s="238">
        <f>'Cost-Share'!AC25</f>
        <v>0</v>
      </c>
      <c r="P37" s="270">
        <f>'Cost-Share'!AD25</f>
        <v>0</v>
      </c>
      <c r="R37" s="420">
        <f>K37+N37</f>
        <v>0</v>
      </c>
      <c r="S37" s="421">
        <f>L37+O37</f>
        <v>0</v>
      </c>
      <c r="T37" s="421">
        <f>M37+P37</f>
        <v>0</v>
      </c>
      <c r="U37" s="422" t="str">
        <f>IFERROR((P44/T37),"-")</f>
        <v>-</v>
      </c>
    </row>
    <row r="38" spans="2:23" ht="15.75" customHeight="1" thickBot="1">
      <c r="B38" s="982">
        <f>'Bdgt Yr 1'!B38</f>
        <v>131010</v>
      </c>
      <c r="C38" s="983"/>
      <c r="D38" s="1132" t="str">
        <f>T('Bdgt Yr 1'!D38)</f>
        <v xml:space="preserve"> </v>
      </c>
      <c r="E38" s="1133"/>
      <c r="F38" s="1133"/>
      <c r="G38" s="1134"/>
      <c r="H38" s="1096">
        <v>0</v>
      </c>
      <c r="I38" s="1097"/>
      <c r="J38" s="25">
        <f>'Bdgt Yr 2'!J39*(1+'Budget Summary'!$G$35)</f>
        <v>0</v>
      </c>
      <c r="K38" s="34">
        <f>ROUNDUP((H38*J38),0)</f>
        <v>0</v>
      </c>
      <c r="L38" s="31">
        <f>ROUNDUP((K38*Constants!$N$20),0)</f>
        <v>0</v>
      </c>
      <c r="M38" s="61">
        <f>(+K38+L38)</f>
        <v>0</v>
      </c>
      <c r="N38" s="240">
        <f>'Cost-Share'!AB26</f>
        <v>0</v>
      </c>
      <c r="O38" s="238">
        <f>'Cost-Share'!AC26</f>
        <v>0</v>
      </c>
      <c r="P38" s="270">
        <f>'Cost-Share'!AD26</f>
        <v>0</v>
      </c>
      <c r="R38" s="420">
        <f t="shared" ref="R38" si="10">K38+N38</f>
        <v>0</v>
      </c>
      <c r="S38" s="421">
        <f t="shared" ref="S38" si="11">L38+O38</f>
        <v>0</v>
      </c>
      <c r="T38" s="421">
        <f t="shared" ref="T38" si="12">M38+P38</f>
        <v>0</v>
      </c>
      <c r="U38" s="422" t="str">
        <f>IFERROR((P45/T38),"-")</f>
        <v>-</v>
      </c>
    </row>
    <row r="39" spans="2:23" ht="15" thickBot="1">
      <c r="B39" s="990" t="s">
        <v>167</v>
      </c>
      <c r="C39" s="991"/>
      <c r="D39" s="991"/>
      <c r="E39" s="991"/>
      <c r="F39" s="991"/>
      <c r="G39" s="991"/>
      <c r="H39" s="991"/>
      <c r="I39" s="991"/>
      <c r="J39" s="991"/>
      <c r="K39" s="276">
        <f>SUM(K30:K38)</f>
        <v>0</v>
      </c>
      <c r="L39" s="277">
        <f>SUM(L30:L38)</f>
        <v>0</v>
      </c>
      <c r="M39" s="279">
        <f>SUM(M30:M38)</f>
        <v>0</v>
      </c>
      <c r="N39" s="288">
        <f t="shared" ref="N39:O39" si="13">SUM(N30:N38)</f>
        <v>0</v>
      </c>
      <c r="O39" s="282">
        <f t="shared" si="13"/>
        <v>0</v>
      </c>
      <c r="P39" s="283">
        <f>SUM(P30:P38)</f>
        <v>0</v>
      </c>
      <c r="Q39" s="410"/>
      <c r="R39" s="434">
        <f>SUM(R30:R38)</f>
        <v>0</v>
      </c>
      <c r="S39" s="446">
        <f>SUM(S30:S38)</f>
        <v>0</v>
      </c>
      <c r="T39" s="446">
        <f>SUM(T30:T38)</f>
        <v>0</v>
      </c>
      <c r="U39" s="447"/>
    </row>
    <row r="40" spans="2:23" ht="7.5" customHeight="1">
      <c r="B40" s="960"/>
      <c r="C40" s="960"/>
      <c r="D40" s="960"/>
      <c r="E40" s="960"/>
      <c r="F40" s="960"/>
      <c r="G40" s="960"/>
      <c r="H40" s="960"/>
      <c r="I40" s="960"/>
      <c r="J40" s="960"/>
      <c r="K40" s="960"/>
      <c r="L40" s="960"/>
      <c r="M40" s="960"/>
    </row>
    <row r="41" spans="2:23" s="398" customFormat="1" ht="15.75" customHeight="1" thickBot="1">
      <c r="B41" s="985" t="s">
        <v>168</v>
      </c>
      <c r="C41" s="985"/>
      <c r="D41" s="985"/>
      <c r="E41" s="985"/>
      <c r="F41" s="985"/>
      <c r="G41" s="985"/>
      <c r="H41" s="985"/>
      <c r="I41" s="985"/>
      <c r="J41" s="985"/>
      <c r="K41" s="985"/>
      <c r="L41" s="985"/>
      <c r="M41" s="985"/>
      <c r="N41" s="985"/>
      <c r="O41" s="985"/>
      <c r="P41" s="985"/>
      <c r="Q41" s="23"/>
      <c r="R41" s="974"/>
      <c r="S41" s="974"/>
      <c r="T41" s="974"/>
      <c r="U41" s="974"/>
    </row>
    <row r="42" spans="2:23" ht="7.5" customHeight="1">
      <c r="B42" s="960"/>
      <c r="C42" s="960"/>
      <c r="D42" s="960"/>
      <c r="E42" s="960"/>
      <c r="F42" s="960"/>
      <c r="G42" s="960"/>
      <c r="H42" s="960"/>
      <c r="I42" s="960"/>
      <c r="J42" s="960"/>
      <c r="K42" s="960"/>
      <c r="L42" s="960"/>
      <c r="M42" s="960"/>
    </row>
    <row r="43" spans="2:23" ht="42" customHeight="1">
      <c r="B43" s="1068" t="s">
        <v>169</v>
      </c>
      <c r="C43" s="1069"/>
      <c r="D43" s="1069"/>
      <c r="E43" s="1069"/>
      <c r="F43" s="1069"/>
      <c r="G43" s="1069"/>
      <c r="H43" s="1069"/>
      <c r="I43" s="1069"/>
      <c r="J43" s="1069"/>
      <c r="K43" s="1069"/>
      <c r="L43" s="1069"/>
      <c r="M43" s="1069"/>
      <c r="N43" s="1063" t="s">
        <v>134</v>
      </c>
      <c r="O43" s="1064"/>
      <c r="P43" s="1065"/>
      <c r="R43" s="1080" t="s">
        <v>135</v>
      </c>
      <c r="S43" s="1081"/>
      <c r="T43" s="1081"/>
      <c r="U43" s="1082"/>
    </row>
    <row r="44" spans="2:23" ht="29.25" customHeight="1">
      <c r="B44" s="980" t="s">
        <v>158</v>
      </c>
      <c r="C44" s="981"/>
      <c r="D44" s="1528" t="s">
        <v>159</v>
      </c>
      <c r="E44" s="1529"/>
      <c r="F44" s="1529"/>
      <c r="G44" s="1531"/>
      <c r="H44" s="449" t="s">
        <v>170</v>
      </c>
      <c r="I44" s="449" t="s">
        <v>171</v>
      </c>
      <c r="J44" s="438" t="s">
        <v>166</v>
      </c>
      <c r="K44" s="450" t="s">
        <v>144</v>
      </c>
      <c r="L44" s="450" t="s">
        <v>145</v>
      </c>
      <c r="M44" s="451" t="s">
        <v>146</v>
      </c>
      <c r="N44" s="263" t="s">
        <v>147</v>
      </c>
      <c r="O44" s="239" t="s">
        <v>148</v>
      </c>
      <c r="P44" s="271" t="s">
        <v>149</v>
      </c>
      <c r="R44" s="414" t="s">
        <v>150</v>
      </c>
      <c r="S44" s="415" t="s">
        <v>151</v>
      </c>
      <c r="T44" s="415" t="s">
        <v>152</v>
      </c>
      <c r="U44" s="441" t="s">
        <v>153</v>
      </c>
    </row>
    <row r="45" spans="2:23" ht="15" customHeight="1">
      <c r="B45" s="982">
        <v>135050</v>
      </c>
      <c r="C45" s="983"/>
      <c r="D45" s="1532" t="s">
        <v>172</v>
      </c>
      <c r="E45" s="1533"/>
      <c r="F45" s="1533"/>
      <c r="G45" s="1534"/>
      <c r="H45" s="453">
        <v>0</v>
      </c>
      <c r="I45" s="453">
        <v>0</v>
      </c>
      <c r="J45" s="454">
        <v>0</v>
      </c>
      <c r="K45" s="25">
        <f>(+H45+I45)*J45</f>
        <v>0</v>
      </c>
      <c r="L45" s="25">
        <f>ROUNDUP((((I45*J45)*Constants!$N$20)+((H45*J45)*Constants!$N$18)),0)</f>
        <v>0</v>
      </c>
      <c r="M45" s="133">
        <f>(+K45+L45)</f>
        <v>0</v>
      </c>
      <c r="N45" s="240">
        <f>'Cost-Share'!AB30</f>
        <v>0</v>
      </c>
      <c r="O45" s="238">
        <f>'Cost-Share'!AC30</f>
        <v>0</v>
      </c>
      <c r="P45" s="270">
        <f>'Cost-Share'!AD30</f>
        <v>0</v>
      </c>
      <c r="R45" s="420">
        <f>K45+N45</f>
        <v>0</v>
      </c>
      <c r="S45" s="421">
        <f>L45+O45</f>
        <v>0</v>
      </c>
      <c r="T45" s="421">
        <f>M45+P45</f>
        <v>0</v>
      </c>
      <c r="U45" s="422" t="str">
        <f>IFERROR((P49/T45),"-")</f>
        <v>-</v>
      </c>
    </row>
    <row r="46" spans="2:23" ht="15" customHeight="1">
      <c r="B46" s="982">
        <v>135050</v>
      </c>
      <c r="C46" s="983"/>
      <c r="D46" s="1532" t="s">
        <v>172</v>
      </c>
      <c r="E46" s="1533"/>
      <c r="F46" s="1533"/>
      <c r="G46" s="1534"/>
      <c r="H46" s="456">
        <v>0</v>
      </c>
      <c r="I46" s="456">
        <v>0</v>
      </c>
      <c r="J46" s="454">
        <v>0</v>
      </c>
      <c r="K46" s="25">
        <f t="shared" ref="K46:K48" si="14">(+H46+I46)*J46</f>
        <v>0</v>
      </c>
      <c r="L46" s="25">
        <f>ROUNDUP((((I46*J46)*Constants!$N$20)+((H46*J46)*Constants!$N$18)),0)</f>
        <v>0</v>
      </c>
      <c r="M46" s="134">
        <f t="shared" ref="M46:M47" si="15">(+K46+L46)</f>
        <v>0</v>
      </c>
      <c r="N46" s="240">
        <f>'Cost-Share'!AB31</f>
        <v>0</v>
      </c>
      <c r="O46" s="238">
        <f>'Cost-Share'!AC31</f>
        <v>0</v>
      </c>
      <c r="P46" s="270">
        <f>'Cost-Share'!AD31</f>
        <v>0</v>
      </c>
      <c r="R46" s="420">
        <f t="shared" ref="R46" si="16">K46+N46</f>
        <v>0</v>
      </c>
      <c r="S46" s="421">
        <f t="shared" ref="S46" si="17">L46+O46</f>
        <v>0</v>
      </c>
      <c r="T46" s="421">
        <f t="shared" ref="T46" si="18">M46+P46</f>
        <v>0</v>
      </c>
      <c r="U46" s="422" t="str">
        <f>IFERROR((P50/T46),"-")</f>
        <v>-</v>
      </c>
    </row>
    <row r="47" spans="2:23" ht="15" customHeight="1">
      <c r="B47" s="982">
        <v>135050</v>
      </c>
      <c r="C47" s="983"/>
      <c r="D47" s="1532" t="s">
        <v>173</v>
      </c>
      <c r="E47" s="1533"/>
      <c r="F47" s="1533"/>
      <c r="G47" s="1534"/>
      <c r="H47" s="457">
        <v>0</v>
      </c>
      <c r="I47" s="457">
        <v>0</v>
      </c>
      <c r="J47" s="454">
        <v>0</v>
      </c>
      <c r="K47" s="25">
        <f t="shared" si="14"/>
        <v>0</v>
      </c>
      <c r="L47" s="25">
        <f>ROUNDUP((((I47*J47)*Constants!$N$20)+((H47*J47)*Constants!$N$18)),0)</f>
        <v>0</v>
      </c>
      <c r="M47" s="134">
        <f t="shared" si="15"/>
        <v>0</v>
      </c>
      <c r="N47" s="240">
        <f>'Cost-Share'!AB32</f>
        <v>0</v>
      </c>
      <c r="O47" s="238">
        <f>'Cost-Share'!AC32</f>
        <v>0</v>
      </c>
      <c r="P47" s="270">
        <f>'Cost-Share'!AD32</f>
        <v>0</v>
      </c>
      <c r="Q47" s="448"/>
      <c r="R47" s="420">
        <f>K47+N47</f>
        <v>0</v>
      </c>
      <c r="S47" s="421">
        <f>L47+O47</f>
        <v>0</v>
      </c>
      <c r="T47" s="421">
        <f>M47+P47</f>
        <v>0</v>
      </c>
      <c r="U47" s="422" t="str">
        <f>IFERROR((P51/T47),"-")</f>
        <v>-</v>
      </c>
    </row>
    <row r="48" spans="2:23" ht="15" customHeight="1">
      <c r="B48" s="982">
        <v>135050</v>
      </c>
      <c r="C48" s="983"/>
      <c r="D48" s="1532" t="s">
        <v>173</v>
      </c>
      <c r="E48" s="1533"/>
      <c r="F48" s="1533"/>
      <c r="G48" s="1534"/>
      <c r="H48" s="458">
        <v>0</v>
      </c>
      <c r="I48" s="458">
        <v>0</v>
      </c>
      <c r="J48" s="459">
        <v>0</v>
      </c>
      <c r="K48" s="25">
        <f t="shared" si="14"/>
        <v>0</v>
      </c>
      <c r="L48" s="25">
        <f>ROUNDUP((((I48*J48)*Constants!$N$20)+((H48*J48)*Constants!$N$18)),0)</f>
        <v>0</v>
      </c>
      <c r="M48" s="60">
        <f>(+K48+L48)</f>
        <v>0</v>
      </c>
      <c r="N48" s="240">
        <f>'Cost-Share'!AB33</f>
        <v>0</v>
      </c>
      <c r="O48" s="238">
        <f>'Cost-Share'!AC33</f>
        <v>0</v>
      </c>
      <c r="P48" s="270">
        <f>'Cost-Share'!AD33</f>
        <v>0</v>
      </c>
      <c r="R48" s="420">
        <f t="shared" ref="R48" si="19">K48+N48</f>
        <v>0</v>
      </c>
      <c r="S48" s="421">
        <f t="shared" ref="S48" si="20">L48+O48</f>
        <v>0</v>
      </c>
      <c r="T48" s="421">
        <f t="shared" ref="T48" si="21">M48+P48</f>
        <v>0</v>
      </c>
      <c r="U48" s="422" t="str">
        <f>IFERROR((#REF!/T48),"-")</f>
        <v>-</v>
      </c>
    </row>
    <row r="49" spans="2:21" ht="15" customHeight="1">
      <c r="B49" s="982"/>
      <c r="C49" s="983"/>
      <c r="D49" s="998"/>
      <c r="E49" s="999"/>
      <c r="F49" s="999"/>
      <c r="G49" s="1000"/>
      <c r="H49" s="1085" t="s">
        <v>174</v>
      </c>
      <c r="I49" s="1086"/>
      <c r="J49" s="461" t="s">
        <v>175</v>
      </c>
      <c r="K49" s="1090"/>
      <c r="L49" s="460" t="s">
        <v>145</v>
      </c>
      <c r="M49" s="460" t="s">
        <v>146</v>
      </c>
      <c r="N49" s="243" t="s">
        <v>176</v>
      </c>
      <c r="O49" s="244" t="s">
        <v>145</v>
      </c>
      <c r="P49" s="293" t="s">
        <v>146</v>
      </c>
      <c r="R49" s="496" t="s">
        <v>176</v>
      </c>
      <c r="S49" s="463" t="s">
        <v>145</v>
      </c>
      <c r="T49" s="463" t="s">
        <v>152</v>
      </c>
      <c r="U49" s="464" t="s">
        <v>153</v>
      </c>
    </row>
    <row r="50" spans="2:21" ht="15" customHeight="1">
      <c r="B50" s="982">
        <v>135050</v>
      </c>
      <c r="C50" s="983"/>
      <c r="D50" s="1532" t="s">
        <v>177</v>
      </c>
      <c r="E50" s="1533"/>
      <c r="F50" s="1533"/>
      <c r="G50" s="1534"/>
      <c r="H50" s="1087">
        <v>0</v>
      </c>
      <c r="I50" s="1088"/>
      <c r="J50" s="465">
        <v>0</v>
      </c>
      <c r="K50" s="1091"/>
      <c r="L50" s="60">
        <f>ROUNDUP(((J50*Constants!$N$20)+(H50*Constants!$N$18)),0)</f>
        <v>0</v>
      </c>
      <c r="M50" s="60">
        <f>(H50+J50+L50)</f>
        <v>0</v>
      </c>
      <c r="N50" s="240">
        <f>'Cost-Share'!AB35</f>
        <v>0</v>
      </c>
      <c r="O50" s="238">
        <f>'Cost-Share'!AC35</f>
        <v>0</v>
      </c>
      <c r="P50" s="270">
        <f>'Cost-Share'!AD35</f>
        <v>0</v>
      </c>
      <c r="R50" s="420">
        <f>K50+N50</f>
        <v>0</v>
      </c>
      <c r="S50" s="421">
        <f>L50+O50</f>
        <v>0</v>
      </c>
      <c r="T50" s="421">
        <f>M50+P50</f>
        <v>0</v>
      </c>
      <c r="U50" s="422" t="str">
        <f>IFERROR((#REF!/T50),"-")</f>
        <v>-</v>
      </c>
    </row>
    <row r="51" spans="2:21" ht="14.25" customHeight="1" thickBot="1">
      <c r="B51" s="982">
        <v>135050</v>
      </c>
      <c r="C51" s="983"/>
      <c r="D51" s="1525" t="s">
        <v>177</v>
      </c>
      <c r="E51" s="1526"/>
      <c r="F51" s="1526"/>
      <c r="G51" s="1527"/>
      <c r="H51" s="1083">
        <v>0</v>
      </c>
      <c r="I51" s="1084"/>
      <c r="J51" s="466">
        <v>0</v>
      </c>
      <c r="K51" s="1092"/>
      <c r="L51" s="60">
        <f>(J51*Constants!$N$20)+(H51*Constants!$N$18)</f>
        <v>0</v>
      </c>
      <c r="M51" s="60">
        <f>(H51+J51+L51)</f>
        <v>0</v>
      </c>
      <c r="N51" s="240">
        <f>'Cost-Share'!AB36</f>
        <v>0</v>
      </c>
      <c r="O51" s="238">
        <f>'Cost-Share'!AC36</f>
        <v>0</v>
      </c>
      <c r="P51" s="270">
        <f>'Cost-Share'!AD36</f>
        <v>0</v>
      </c>
      <c r="R51" s="497">
        <f t="shared" ref="R51" si="22">K51+N51</f>
        <v>0</v>
      </c>
      <c r="S51" s="498">
        <f t="shared" ref="S51" si="23">L51+O51</f>
        <v>0</v>
      </c>
      <c r="T51" s="498">
        <f t="shared" ref="T51" si="24">M51+P51</f>
        <v>0</v>
      </c>
      <c r="U51" s="499" t="str">
        <f>IFERROR((#REF!/T51),"-")</f>
        <v>-</v>
      </c>
    </row>
    <row r="52" spans="2:21" ht="15" thickBot="1">
      <c r="B52" s="990" t="s">
        <v>178</v>
      </c>
      <c r="C52" s="991"/>
      <c r="D52" s="991"/>
      <c r="E52" s="991"/>
      <c r="F52" s="991"/>
      <c r="G52" s="991"/>
      <c r="H52" s="991"/>
      <c r="I52" s="991"/>
      <c r="J52" s="991"/>
      <c r="K52" s="276">
        <f>SUM(K45:K48,H50:J51)</f>
        <v>0</v>
      </c>
      <c r="L52" s="277">
        <f>SUM(L45:L51)</f>
        <v>0</v>
      </c>
      <c r="M52" s="278">
        <f>SUM(M45:M51)</f>
        <v>0</v>
      </c>
      <c r="N52" s="294">
        <f t="shared" ref="N52:P52" si="25">SUM(N49:N51)</f>
        <v>0</v>
      </c>
      <c r="O52" s="295">
        <f t="shared" si="25"/>
        <v>0</v>
      </c>
      <c r="P52" s="296">
        <f t="shared" si="25"/>
        <v>0</v>
      </c>
      <c r="R52" s="500" t="s">
        <v>234</v>
      </c>
      <c r="S52" s="501" t="s">
        <v>235</v>
      </c>
      <c r="T52" s="501" t="s">
        <v>235</v>
      </c>
      <c r="U52" s="502"/>
    </row>
    <row r="53" spans="2:21" ht="7.5" customHeight="1" thickBot="1">
      <c r="B53" s="960"/>
      <c r="C53" s="960"/>
      <c r="D53" s="960"/>
      <c r="E53" s="960"/>
      <c r="F53" s="960"/>
      <c r="G53" s="960"/>
      <c r="H53" s="960"/>
      <c r="I53" s="960"/>
      <c r="J53" s="960"/>
      <c r="K53" s="960"/>
      <c r="L53" s="960"/>
      <c r="M53" s="960"/>
    </row>
    <row r="54" spans="2:21" ht="15" customHeight="1" thickBot="1">
      <c r="B54" s="996" t="s">
        <v>179</v>
      </c>
      <c r="C54" s="997"/>
      <c r="D54" s="997"/>
      <c r="E54" s="997"/>
      <c r="F54" s="997"/>
      <c r="G54" s="997"/>
      <c r="H54" s="997"/>
      <c r="I54" s="997"/>
      <c r="J54" s="997"/>
      <c r="K54" s="298">
        <f t="shared" ref="K54:P54" si="26">K24+K39+K52</f>
        <v>0</v>
      </c>
      <c r="L54" s="298">
        <f>L24+L39+L52</f>
        <v>0</v>
      </c>
      <c r="M54" s="298">
        <f t="shared" si="26"/>
        <v>0</v>
      </c>
      <c r="N54" s="288">
        <f t="shared" si="26"/>
        <v>0</v>
      </c>
      <c r="O54" s="288">
        <f t="shared" si="26"/>
        <v>0</v>
      </c>
      <c r="P54" s="288">
        <f t="shared" si="26"/>
        <v>0</v>
      </c>
    </row>
    <row r="55" spans="2:21" ht="7.5" customHeight="1">
      <c r="B55" s="960"/>
      <c r="C55" s="960"/>
      <c r="D55" s="960"/>
      <c r="E55" s="960"/>
      <c r="F55" s="960"/>
      <c r="G55" s="960"/>
      <c r="H55" s="960"/>
      <c r="I55" s="960"/>
      <c r="J55" s="960"/>
      <c r="K55" s="960"/>
      <c r="L55" s="960"/>
      <c r="M55" s="960"/>
    </row>
    <row r="56" spans="2:21" ht="15.75" thickBot="1">
      <c r="B56" s="985" t="s">
        <v>180</v>
      </c>
      <c r="C56" s="985"/>
      <c r="D56" s="985"/>
      <c r="E56" s="985"/>
      <c r="F56" s="985"/>
      <c r="G56" s="985"/>
      <c r="H56" s="985"/>
      <c r="I56" s="985"/>
      <c r="J56" s="985"/>
      <c r="K56" s="985"/>
      <c r="L56" s="985"/>
      <c r="M56" s="985"/>
      <c r="N56" s="985"/>
      <c r="O56" s="985"/>
      <c r="P56" s="985"/>
    </row>
    <row r="57" spans="2:21" ht="7.5" customHeight="1" thickBot="1">
      <c r="B57" s="960"/>
      <c r="C57" s="960"/>
      <c r="D57" s="960"/>
      <c r="E57" s="960"/>
      <c r="F57" s="960"/>
      <c r="G57" s="960"/>
      <c r="H57" s="960"/>
      <c r="I57" s="960"/>
      <c r="J57" s="960"/>
      <c r="K57" s="960"/>
      <c r="L57" s="960"/>
      <c r="M57" s="960"/>
      <c r="N57" s="360"/>
    </row>
    <row r="58" spans="2:21">
      <c r="B58" s="1535" t="s">
        <v>181</v>
      </c>
      <c r="C58" s="1536"/>
      <c r="D58" s="1536"/>
      <c r="E58" s="1536"/>
      <c r="F58" s="962" t="s">
        <v>182</v>
      </c>
      <c r="G58" s="962"/>
      <c r="H58" s="962" t="s">
        <v>183</v>
      </c>
      <c r="I58" s="962"/>
      <c r="J58" s="962" t="s">
        <v>184</v>
      </c>
      <c r="K58" s="962"/>
      <c r="L58" s="962"/>
      <c r="M58" s="467"/>
      <c r="N58" s="468" t="s">
        <v>185</v>
      </c>
    </row>
    <row r="59" spans="2:21" ht="15" customHeight="1">
      <c r="B59" s="1111" t="str">
        <f>'Bdgt Yr 1'!B59</f>
        <v>689036</v>
      </c>
      <c r="C59" s="1112">
        <f>'Bdgt Yr 1'!C68</f>
        <v>0</v>
      </c>
      <c r="D59" s="1537" t="s">
        <v>187</v>
      </c>
      <c r="E59" s="1538"/>
      <c r="F59" s="958"/>
      <c r="G59" s="959"/>
      <c r="H59" s="958"/>
      <c r="I59" s="1060"/>
      <c r="J59" s="959"/>
      <c r="K59" s="959"/>
      <c r="L59" s="1077"/>
      <c r="M59" s="469">
        <f>IFERROR(INDEX('Tuition &amp; Fees'!C4:D21,MATCH(J59,'Tuition &amp; Fees'!B4:B21,0),MATCH(H59,'Tuition &amp; Fees'!C3:D3,0)),"0")*F59</f>
        <v>0</v>
      </c>
      <c r="N59" s="303">
        <f>'Cost-Share'!AD44</f>
        <v>0</v>
      </c>
    </row>
    <row r="60" spans="2:21" ht="15" customHeight="1">
      <c r="B60" s="1111" t="str">
        <f>'Bdgt Yr 1'!B60</f>
        <v>689036</v>
      </c>
      <c r="C60" s="1112">
        <f>'Bdgt Yr 1'!C69</f>
        <v>0</v>
      </c>
      <c r="D60" s="1539" t="s">
        <v>188</v>
      </c>
      <c r="E60" s="1540"/>
      <c r="F60" s="1058"/>
      <c r="G60" s="1059"/>
      <c r="H60" s="1058"/>
      <c r="I60" s="1061"/>
      <c r="J60" s="1078"/>
      <c r="K60" s="1078"/>
      <c r="L60" s="1079"/>
      <c r="M60" s="470">
        <f>IFERROR(INDEX('Tuition &amp; Fees'!C25:D42,MATCH(J60,'Tuition &amp; Fees'!B25:B42,0),MATCH(H60,'Tuition &amp; Fees'!C24:D24,0)),"0")*F60</f>
        <v>0</v>
      </c>
      <c r="N60" s="303">
        <f>'Cost-Share'!AD45</f>
        <v>0</v>
      </c>
    </row>
    <row r="61" spans="2:21" ht="15" customHeight="1">
      <c r="B61" s="1111">
        <f>'Bdgt Yr 1'!B61</f>
        <v>689036</v>
      </c>
      <c r="C61" s="1112">
        <f>'Bdgt Yr 1'!C70</f>
        <v>0</v>
      </c>
      <c r="D61" s="1541" t="s">
        <v>189</v>
      </c>
      <c r="E61" s="1542"/>
      <c r="F61" s="967"/>
      <c r="G61" s="968"/>
      <c r="H61" s="968"/>
      <c r="I61" s="968"/>
      <c r="J61" s="968"/>
      <c r="K61" s="968"/>
      <c r="L61" s="969"/>
      <c r="M61" s="61">
        <v>0</v>
      </c>
      <c r="N61" s="303">
        <f>'Cost-Share'!AD46</f>
        <v>0</v>
      </c>
    </row>
    <row r="62" spans="2:21">
      <c r="B62" s="990" t="s">
        <v>229</v>
      </c>
      <c r="C62" s="991"/>
      <c r="D62" s="991"/>
      <c r="E62" s="991"/>
      <c r="F62" s="991"/>
      <c r="G62" s="991"/>
      <c r="H62" s="991"/>
      <c r="I62" s="991"/>
      <c r="J62" s="991"/>
      <c r="K62" s="991"/>
      <c r="L62" s="1012"/>
      <c r="M62" s="342">
        <f>SUM(M59:M61)</f>
        <v>0</v>
      </c>
      <c r="N62" s="304">
        <f>SUM(N59:N61)</f>
        <v>0</v>
      </c>
    </row>
    <row r="63" spans="2:21" ht="7.5" customHeight="1" thickBot="1">
      <c r="B63" s="960"/>
      <c r="C63" s="960"/>
      <c r="D63" s="960"/>
      <c r="E63" s="960"/>
      <c r="F63" s="960"/>
      <c r="G63" s="960"/>
      <c r="H63" s="960"/>
      <c r="I63" s="960"/>
      <c r="J63" s="960"/>
      <c r="K63" s="960"/>
      <c r="L63" s="960"/>
      <c r="M63" s="960"/>
    </row>
    <row r="64" spans="2:21">
      <c r="B64" s="1543" t="s">
        <v>230</v>
      </c>
      <c r="C64" s="1544"/>
      <c r="D64" s="1544"/>
      <c r="E64" s="1544"/>
      <c r="F64" s="961" t="s">
        <v>191</v>
      </c>
      <c r="G64" s="961"/>
      <c r="H64" s="961"/>
      <c r="I64" s="961"/>
      <c r="J64" s="961"/>
      <c r="K64" s="961"/>
      <c r="L64" s="961"/>
      <c r="M64" s="961"/>
      <c r="N64" s="471" t="s">
        <v>185</v>
      </c>
      <c r="P64" s="472"/>
    </row>
    <row r="65" spans="2:14" ht="15" customHeight="1">
      <c r="B65" s="1111" t="str">
        <f>'Bdgt Yr 1'!B65</f>
        <v>4000BP</v>
      </c>
      <c r="C65" s="1112">
        <f>'Bdgt Yr 1'!C74</f>
        <v>0</v>
      </c>
      <c r="D65" s="1545" t="s">
        <v>116</v>
      </c>
      <c r="E65" s="1546"/>
      <c r="F65" s="1006"/>
      <c r="G65" s="1007"/>
      <c r="H65" s="1007"/>
      <c r="I65" s="1007"/>
      <c r="J65" s="1007"/>
      <c r="K65" s="1007"/>
      <c r="L65" s="1008"/>
      <c r="M65" s="469">
        <v>0</v>
      </c>
      <c r="N65" s="303">
        <f>'Cost-Share'!AD50</f>
        <v>0</v>
      </c>
    </row>
    <row r="66" spans="2:14" ht="15.75" customHeight="1" thickBot="1">
      <c r="B66" s="1111" t="str">
        <f>'Bdgt Yr 1'!B66</f>
        <v>4000BP</v>
      </c>
      <c r="C66" s="1112">
        <f>'Bdgt Yr 1'!C75</f>
        <v>0</v>
      </c>
      <c r="D66" s="1556" t="s">
        <v>116</v>
      </c>
      <c r="E66" s="1557"/>
      <c r="F66" s="967"/>
      <c r="G66" s="968"/>
      <c r="H66" s="968"/>
      <c r="I66" s="968"/>
      <c r="J66" s="968"/>
      <c r="K66" s="968"/>
      <c r="L66" s="969"/>
      <c r="M66" s="61">
        <v>0</v>
      </c>
      <c r="N66" s="303">
        <f>'Cost-Share'!AD51</f>
        <v>0</v>
      </c>
    </row>
    <row r="67" spans="2:14" ht="15" thickBot="1">
      <c r="B67" s="1140" t="s">
        <v>193</v>
      </c>
      <c r="C67" s="1141"/>
      <c r="D67" s="1141"/>
      <c r="E67" s="1141"/>
      <c r="F67" s="1141"/>
      <c r="G67" s="1141"/>
      <c r="H67" s="1141"/>
      <c r="I67" s="1141"/>
      <c r="J67" s="1141"/>
      <c r="K67" s="1141"/>
      <c r="L67" s="1142"/>
      <c r="M67" s="504">
        <f>SUM(M65:M66)</f>
        <v>0</v>
      </c>
      <c r="N67" s="304">
        <f>SUM(N65:N66)</f>
        <v>0</v>
      </c>
    </row>
    <row r="68" spans="2:14" ht="7.5" customHeight="1" thickBot="1">
      <c r="B68" s="960"/>
      <c r="C68" s="960"/>
      <c r="D68" s="960"/>
      <c r="E68" s="960"/>
      <c r="F68" s="960"/>
      <c r="G68" s="960"/>
      <c r="H68" s="960"/>
      <c r="I68" s="960"/>
      <c r="J68" s="960"/>
      <c r="K68" s="960"/>
      <c r="L68" s="960"/>
      <c r="M68" s="960"/>
      <c r="N68" s="360"/>
    </row>
    <row r="69" spans="2:14">
      <c r="B69" s="1558" t="s">
        <v>194</v>
      </c>
      <c r="C69" s="1544"/>
      <c r="D69" s="1544"/>
      <c r="E69" s="1544"/>
      <c r="F69" s="961" t="s">
        <v>191</v>
      </c>
      <c r="G69" s="961"/>
      <c r="H69" s="961"/>
      <c r="I69" s="961"/>
      <c r="J69" s="961"/>
      <c r="K69" s="961"/>
      <c r="L69" s="961"/>
      <c r="M69" s="961"/>
      <c r="N69" s="468" t="s">
        <v>185</v>
      </c>
    </row>
    <row r="70" spans="2:14" ht="15" customHeight="1">
      <c r="B70" s="1111" t="str">
        <f>'Bdgt Yr 1'!B70</f>
        <v>5000BP</v>
      </c>
      <c r="C70" s="1112">
        <f>'Bdgt Yr 1'!C79</f>
        <v>0</v>
      </c>
      <c r="D70" s="1545" t="s">
        <v>196</v>
      </c>
      <c r="E70" s="1546"/>
      <c r="F70" s="1006"/>
      <c r="G70" s="1007"/>
      <c r="H70" s="1007"/>
      <c r="I70" s="1007"/>
      <c r="J70" s="1007"/>
      <c r="K70" s="1007"/>
      <c r="L70" s="1008"/>
      <c r="M70" s="469">
        <v>0</v>
      </c>
      <c r="N70" s="303">
        <f>'Cost-Share'!AD55</f>
        <v>0</v>
      </c>
    </row>
    <row r="71" spans="2:14" ht="15" customHeight="1">
      <c r="B71" s="1111" t="str">
        <f>'Bdgt Yr 1'!B71</f>
        <v>271410</v>
      </c>
      <c r="C71" s="1112">
        <f>'Bdgt Yr 1'!C80</f>
        <v>0</v>
      </c>
      <c r="D71" s="1539" t="s">
        <v>120</v>
      </c>
      <c r="E71" s="1548"/>
      <c r="F71" s="1006"/>
      <c r="G71" s="1007"/>
      <c r="H71" s="1007"/>
      <c r="I71" s="1007"/>
      <c r="J71" s="1007"/>
      <c r="K71" s="1007"/>
      <c r="L71" s="1008"/>
      <c r="M71" s="470">
        <v>0</v>
      </c>
      <c r="N71" s="303">
        <f>'Cost-Share'!AD56</f>
        <v>0</v>
      </c>
    </row>
    <row r="72" spans="2:14" ht="15" customHeight="1">
      <c r="B72" s="1111" t="str">
        <f>'Bdgt Yr 1'!B72</f>
        <v>218105</v>
      </c>
      <c r="C72" s="1112">
        <f>'Bdgt Yr 1'!C81</f>
        <v>0</v>
      </c>
      <c r="D72" s="1539" t="s">
        <v>199</v>
      </c>
      <c r="E72" s="1548"/>
      <c r="F72" s="1006"/>
      <c r="G72" s="1007"/>
      <c r="H72" s="1007"/>
      <c r="I72" s="1007"/>
      <c r="J72" s="1007"/>
      <c r="K72" s="1007"/>
      <c r="L72" s="1008"/>
      <c r="M72" s="61">
        <v>0</v>
      </c>
      <c r="N72" s="303">
        <f>'Cost-Share'!AD57</f>
        <v>0</v>
      </c>
    </row>
    <row r="73" spans="2:14" ht="15.75" customHeight="1" thickBot="1">
      <c r="B73" s="1111"/>
      <c r="C73" s="1112"/>
      <c r="D73" s="1541" t="s">
        <v>200</v>
      </c>
      <c r="E73" s="1542"/>
      <c r="F73" s="967"/>
      <c r="G73" s="968"/>
      <c r="H73" s="968"/>
      <c r="I73" s="968"/>
      <c r="J73" s="968"/>
      <c r="K73" s="968"/>
      <c r="L73" s="969"/>
      <c r="M73" s="470">
        <v>0</v>
      </c>
      <c r="N73" s="303">
        <f>'Cost-Share'!AD58</f>
        <v>0</v>
      </c>
    </row>
    <row r="74" spans="2:14" ht="15" thickBot="1">
      <c r="B74" s="990" t="s">
        <v>201</v>
      </c>
      <c r="C74" s="991"/>
      <c r="D74" s="991"/>
      <c r="E74" s="991"/>
      <c r="F74" s="991"/>
      <c r="G74" s="991"/>
      <c r="H74" s="991"/>
      <c r="I74" s="991"/>
      <c r="J74" s="991"/>
      <c r="K74" s="991"/>
      <c r="L74" s="1012"/>
      <c r="M74" s="342">
        <f>SUM(M70:M73)</f>
        <v>0</v>
      </c>
      <c r="N74" s="304">
        <f>SUM(N70:N73)</f>
        <v>0</v>
      </c>
    </row>
    <row r="75" spans="2:14" ht="7.5" customHeight="1" thickBot="1">
      <c r="B75" s="960"/>
      <c r="C75" s="960"/>
      <c r="D75" s="960"/>
      <c r="E75" s="960"/>
      <c r="F75" s="960"/>
      <c r="G75" s="960"/>
      <c r="H75" s="960"/>
      <c r="I75" s="960"/>
      <c r="J75" s="960"/>
      <c r="K75" s="960"/>
      <c r="L75" s="960"/>
      <c r="M75" s="960"/>
      <c r="N75" s="360"/>
    </row>
    <row r="76" spans="2:14">
      <c r="B76" s="1558" t="s">
        <v>202</v>
      </c>
      <c r="C76" s="1544"/>
      <c r="D76" s="1544"/>
      <c r="E76" s="1544"/>
      <c r="F76" s="1101" t="s">
        <v>203</v>
      </c>
      <c r="G76" s="1101"/>
      <c r="H76" s="1101"/>
      <c r="I76" s="1101"/>
      <c r="J76" s="1101"/>
      <c r="K76" s="1101"/>
      <c r="L76" s="1101"/>
      <c r="M76" s="1101"/>
      <c r="N76" s="468" t="s">
        <v>185</v>
      </c>
    </row>
    <row r="77" spans="2:14" ht="15" customHeight="1">
      <c r="B77" s="1122" t="s">
        <v>204</v>
      </c>
      <c r="C77" s="1123">
        <f>'Bdgt Yr 1'!C86</f>
        <v>0</v>
      </c>
      <c r="D77" s="1127" t="s">
        <v>205</v>
      </c>
      <c r="E77" s="1128"/>
      <c r="F77" s="1137" t="str">
        <f>T('Bdgt Yr 1'!F77:K77)</f>
        <v/>
      </c>
      <c r="G77" s="1138"/>
      <c r="H77" s="1138"/>
      <c r="I77" s="1138"/>
      <c r="J77" s="1138"/>
      <c r="K77" s="1139"/>
      <c r="L77" s="515">
        <f>IF('Bdgt Yr 1'!M77+'Bdgt Yr 2'!M77+M77&gt;=25000,MAX(25000-('Bdgt Yr 1'!M77+'Bdgt Yr 2'!M77),0), M77)</f>
        <v>0</v>
      </c>
      <c r="M77" s="469">
        <v>0</v>
      </c>
      <c r="N77" s="303">
        <f>'Cost-Share'!AD62</f>
        <v>0</v>
      </c>
    </row>
    <row r="78" spans="2:14" ht="15" customHeight="1">
      <c r="B78" s="1120" t="s">
        <v>204</v>
      </c>
      <c r="C78" s="1121">
        <f>'Bdgt Yr 1'!C87</f>
        <v>0</v>
      </c>
      <c r="D78" s="952" t="s">
        <v>205</v>
      </c>
      <c r="E78" s="953"/>
      <c r="F78" s="1108" t="str">
        <f>T('Bdgt Yr 1'!F78:K78)</f>
        <v/>
      </c>
      <c r="G78" s="1109"/>
      <c r="H78" s="1109"/>
      <c r="I78" s="1109"/>
      <c r="J78" s="1109"/>
      <c r="K78" s="1110"/>
      <c r="L78" s="515">
        <f>IF('Bdgt Yr 1'!M78+'Bdgt Yr 2'!M78+M78&gt;=25000,MAX(25000-('Bdgt Yr 1'!M78+'Bdgt Yr 2'!M78),0), M78)</f>
        <v>0</v>
      </c>
      <c r="M78" s="470">
        <v>0</v>
      </c>
      <c r="N78" s="303">
        <f>'Cost-Share'!AD63</f>
        <v>0</v>
      </c>
    </row>
    <row r="79" spans="2:14" ht="15" customHeight="1">
      <c r="B79" s="1120" t="s">
        <v>204</v>
      </c>
      <c r="C79" s="1121">
        <f>'Bdgt Yr 1'!C88</f>
        <v>0</v>
      </c>
      <c r="D79" s="952" t="s">
        <v>205</v>
      </c>
      <c r="E79" s="953"/>
      <c r="F79" s="1108" t="str">
        <f>T('Bdgt Yr 1'!F79:K79)</f>
        <v/>
      </c>
      <c r="G79" s="1109"/>
      <c r="H79" s="1109"/>
      <c r="I79" s="1109"/>
      <c r="J79" s="1109"/>
      <c r="K79" s="1110"/>
      <c r="L79" s="515">
        <f>IF('Bdgt Yr 1'!M79+'Bdgt Yr 2'!M79+M79&gt;=25000,MAX(25000-('Bdgt Yr 1'!M79+'Bdgt Yr 2'!M79),0), M79)</f>
        <v>0</v>
      </c>
      <c r="M79" s="61">
        <v>0</v>
      </c>
      <c r="N79" s="303">
        <f>'Cost-Share'!AD64</f>
        <v>0</v>
      </c>
    </row>
    <row r="80" spans="2:14" ht="15.75" customHeight="1" thickBot="1">
      <c r="B80" s="1122" t="s">
        <v>204</v>
      </c>
      <c r="C80" s="1123">
        <f>'Bdgt Yr 1'!C89</f>
        <v>0</v>
      </c>
      <c r="D80" s="954" t="s">
        <v>205</v>
      </c>
      <c r="E80" s="955"/>
      <c r="F80" s="1006" t="str">
        <f>T('Bdgt Yr 1'!F80:K80)</f>
        <v/>
      </c>
      <c r="G80" s="1007"/>
      <c r="H80" s="1007"/>
      <c r="I80" s="1007"/>
      <c r="J80" s="1007"/>
      <c r="K80" s="1007"/>
      <c r="L80" s="515">
        <f>IF('Bdgt Yr 1'!M80+'Bdgt Yr 2'!M80+M80&gt;=25000,MAX(25000-('Bdgt Yr 1'!M80+'Bdgt Yr 2'!M80),0), M80)</f>
        <v>0</v>
      </c>
      <c r="M80" s="470">
        <v>0</v>
      </c>
      <c r="N80" s="303">
        <f>'Cost-Share'!AD65</f>
        <v>0</v>
      </c>
    </row>
    <row r="81" spans="2:14" ht="15" thickBot="1">
      <c r="B81" s="990" t="s">
        <v>206</v>
      </c>
      <c r="C81" s="991"/>
      <c r="D81" s="991"/>
      <c r="E81" s="991"/>
      <c r="F81" s="991"/>
      <c r="G81" s="991"/>
      <c r="H81" s="991"/>
      <c r="I81" s="991"/>
      <c r="J81" s="991"/>
      <c r="K81" s="1062"/>
      <c r="L81" s="614">
        <f>SUM(L77:L80)</f>
        <v>0</v>
      </c>
      <c r="M81" s="342">
        <f>SUM(M77:M80)</f>
        <v>0</v>
      </c>
      <c r="N81" s="304">
        <f>SUM(N77:N80)</f>
        <v>0</v>
      </c>
    </row>
    <row r="82" spans="2:14" ht="7.5" customHeight="1" thickBot="1">
      <c r="B82" s="960"/>
      <c r="C82" s="960"/>
      <c r="D82" s="960"/>
      <c r="E82" s="960"/>
      <c r="F82" s="960"/>
      <c r="G82" s="960"/>
      <c r="H82" s="960"/>
      <c r="I82" s="960"/>
      <c r="J82" s="960"/>
      <c r="K82" s="960"/>
      <c r="L82" s="960"/>
      <c r="M82" s="960"/>
      <c r="N82" s="360"/>
    </row>
    <row r="83" spans="2:14">
      <c r="B83" s="1558" t="s">
        <v>207</v>
      </c>
      <c r="C83" s="1544"/>
      <c r="D83" s="1544"/>
      <c r="E83" s="1544"/>
      <c r="F83" s="961" t="s">
        <v>191</v>
      </c>
      <c r="G83" s="961"/>
      <c r="H83" s="961"/>
      <c r="I83" s="961"/>
      <c r="J83" s="961"/>
      <c r="K83" s="961"/>
      <c r="L83" s="961"/>
      <c r="M83" s="961"/>
      <c r="N83" s="468" t="s">
        <v>185</v>
      </c>
    </row>
    <row r="84" spans="2:14" ht="15" customHeight="1">
      <c r="B84" s="1111" t="str">
        <f>'Bdgt Yr 1'!B84</f>
        <v>271410</v>
      </c>
      <c r="C84" s="1112">
        <f>'Bdgt Yr 1'!C109</f>
        <v>0</v>
      </c>
      <c r="D84" s="1545" t="s">
        <v>208</v>
      </c>
      <c r="E84" s="1546"/>
      <c r="F84" s="1006"/>
      <c r="G84" s="1007"/>
      <c r="H84" s="1007"/>
      <c r="I84" s="1007"/>
      <c r="J84" s="1007"/>
      <c r="K84" s="1007"/>
      <c r="L84" s="1008"/>
      <c r="M84" s="469">
        <v>0</v>
      </c>
      <c r="N84" s="303">
        <f>'Cost-Share'!AD69</f>
        <v>0</v>
      </c>
    </row>
    <row r="85" spans="2:14" ht="15" customHeight="1" thickBot="1">
      <c r="B85" s="1111" t="str">
        <f>'Bdgt Yr 1'!B85</f>
        <v>271933</v>
      </c>
      <c r="C85" s="1112">
        <f>'Bdgt Yr 1'!C110</f>
        <v>0</v>
      </c>
      <c r="D85" s="1556" t="s">
        <v>210</v>
      </c>
      <c r="E85" s="1557"/>
      <c r="F85" s="967"/>
      <c r="G85" s="968"/>
      <c r="H85" s="968"/>
      <c r="I85" s="968"/>
      <c r="J85" s="968"/>
      <c r="K85" s="968"/>
      <c r="L85" s="969"/>
      <c r="M85" s="61">
        <v>0</v>
      </c>
      <c r="N85" s="303">
        <f>'Cost-Share'!AD70</f>
        <v>0</v>
      </c>
    </row>
    <row r="86" spans="2:14" ht="15" thickBot="1">
      <c r="B86" s="1140" t="s">
        <v>211</v>
      </c>
      <c r="C86" s="1141"/>
      <c r="D86" s="1141"/>
      <c r="E86" s="1141"/>
      <c r="F86" s="1141"/>
      <c r="G86" s="1141"/>
      <c r="H86" s="1141"/>
      <c r="I86" s="1141"/>
      <c r="J86" s="1141"/>
      <c r="K86" s="1141"/>
      <c r="L86" s="1142"/>
      <c r="M86" s="504">
        <f>SUM(M84:M85)</f>
        <v>0</v>
      </c>
      <c r="N86" s="304">
        <f>SUM(N84:N85)</f>
        <v>0</v>
      </c>
    </row>
    <row r="87" spans="2:14" ht="7.5" customHeight="1" thickBot="1">
      <c r="B87" s="960"/>
      <c r="C87" s="960"/>
      <c r="D87" s="960"/>
      <c r="E87" s="960"/>
      <c r="F87" s="960"/>
      <c r="G87" s="960"/>
      <c r="H87" s="960"/>
      <c r="I87" s="960"/>
      <c r="J87" s="960"/>
      <c r="K87" s="960"/>
      <c r="L87" s="960"/>
      <c r="M87" s="960"/>
      <c r="N87" s="360"/>
    </row>
    <row r="88" spans="2:14">
      <c r="B88" s="1050" t="s">
        <v>212</v>
      </c>
      <c r="C88" s="989"/>
      <c r="D88" s="989"/>
      <c r="E88" s="989"/>
      <c r="F88" s="961" t="s">
        <v>191</v>
      </c>
      <c r="G88" s="961"/>
      <c r="H88" s="961"/>
      <c r="I88" s="961"/>
      <c r="J88" s="961"/>
      <c r="K88" s="961"/>
      <c r="L88" s="961"/>
      <c r="M88" s="961"/>
      <c r="N88" s="468" t="s">
        <v>185</v>
      </c>
    </row>
    <row r="89" spans="2:14" ht="15" customHeight="1">
      <c r="B89" s="972" t="str">
        <f>'Bdgt Yr 1'!B89</f>
        <v>3000BP</v>
      </c>
      <c r="C89" s="973"/>
      <c r="D89" s="956" t="str">
        <f>IF(ISERROR(VLOOKUP(B89,Constants!$X$2:AA$473,1,FALSE)),"No Match",VLOOKUP('Bdgt Yr 1'!B89,Constants!$X$2:$AA$473,4,FALSE))</f>
        <v>Materials and Supplies</v>
      </c>
      <c r="E89" s="957"/>
      <c r="F89" s="1006"/>
      <c r="G89" s="1007"/>
      <c r="H89" s="1007"/>
      <c r="I89" s="1007"/>
      <c r="J89" s="1007"/>
      <c r="K89" s="1007"/>
      <c r="L89" s="1008"/>
      <c r="M89" s="469">
        <v>0</v>
      </c>
      <c r="N89" s="303">
        <f>'Cost-Share'!AD74</f>
        <v>0</v>
      </c>
    </row>
    <row r="90" spans="2:14" ht="15" customHeight="1">
      <c r="B90" s="970">
        <f>'Bdgt Yr 1'!B90</f>
        <v>583010</v>
      </c>
      <c r="C90" s="971"/>
      <c r="D90" s="948" t="str">
        <f>IF(ISERROR(VLOOKUP(B90,Constants!$X$2:AA$473,1,FALSE)),"No Match",VLOOKUP('Bdgt Yr 1'!B90,Constants!$X$2:$AA$473,4,FALSE))</f>
        <v>Subscriptions and Publication Costs</v>
      </c>
      <c r="E90" s="949"/>
      <c r="F90" s="1006"/>
      <c r="G90" s="1007"/>
      <c r="H90" s="1007"/>
      <c r="I90" s="1007"/>
      <c r="J90" s="1007"/>
      <c r="K90" s="1007"/>
      <c r="L90" s="1008"/>
      <c r="M90" s="134">
        <v>0</v>
      </c>
      <c r="N90" s="303">
        <f>'Cost-Share'!AD75</f>
        <v>0</v>
      </c>
    </row>
    <row r="91" spans="2:14" ht="15" customHeight="1">
      <c r="B91" s="970">
        <f>'Bdgt Yr 1'!B91</f>
        <v>311010</v>
      </c>
      <c r="C91" s="971"/>
      <c r="D91" s="948" t="str">
        <f>IF(ISERROR(VLOOKUP(B91,Constants!$X$2:AA$473,1,FALSE)),"No Match",VLOOKUP('Bdgt Yr 1'!B91,Constants!$X$2:$AA$473,4,FALSE))</f>
        <v xml:space="preserve">Office Supplies     </v>
      </c>
      <c r="E91" s="949"/>
      <c r="F91" s="1006"/>
      <c r="G91" s="1007"/>
      <c r="H91" s="1007"/>
      <c r="I91" s="1007"/>
      <c r="J91" s="1007"/>
      <c r="K91" s="1007"/>
      <c r="L91" s="1008"/>
      <c r="M91" s="134">
        <v>0</v>
      </c>
      <c r="N91" s="303">
        <f>'Cost-Share'!AD76</f>
        <v>0</v>
      </c>
    </row>
    <row r="92" spans="2:14" ht="15" customHeight="1">
      <c r="B92" s="970">
        <f>'Bdgt Yr 1'!B92</f>
        <v>293054</v>
      </c>
      <c r="C92" s="971"/>
      <c r="D92" s="948" t="str">
        <f>IF(ISERROR(VLOOKUP(B92,Constants!$X$2:AA$473,1,FALSE)),"No Match",VLOOKUP('Bdgt Yr 1'!B92,Constants!$X$2:$AA$473,4,FALSE))</f>
        <v>Registration Fees</v>
      </c>
      <c r="E92" s="949"/>
      <c r="F92" s="1006"/>
      <c r="G92" s="1007"/>
      <c r="H92" s="1007"/>
      <c r="I92" s="1007"/>
      <c r="J92" s="1007"/>
      <c r="K92" s="1007"/>
      <c r="L92" s="1008"/>
      <c r="M92" s="134">
        <v>0</v>
      </c>
      <c r="N92" s="303">
        <f>'Cost-Share'!AD77</f>
        <v>0</v>
      </c>
    </row>
    <row r="93" spans="2:14" ht="15" customHeight="1">
      <c r="B93" s="970">
        <f>'Bdgt Yr 1'!B93</f>
        <v>281120</v>
      </c>
      <c r="C93" s="971"/>
      <c r="D93" s="948" t="str">
        <f>IF(ISERROR(VLOOKUP(B93,Constants!$X$2:AA$473,1,FALSE)),"No Match",VLOOKUP('Bdgt Yr 1'!B93,Constants!$X$2:$AA$473,4,FALSE))</f>
        <v>Telephone Services</v>
      </c>
      <c r="E93" s="949"/>
      <c r="F93" s="1006"/>
      <c r="G93" s="1007"/>
      <c r="H93" s="1007"/>
      <c r="I93" s="1007"/>
      <c r="J93" s="1007"/>
      <c r="K93" s="1007"/>
      <c r="L93" s="1008"/>
      <c r="M93" s="134">
        <v>0</v>
      </c>
      <c r="N93" s="303">
        <f>'Cost-Share'!AD78</f>
        <v>0</v>
      </c>
    </row>
    <row r="94" spans="2:14" ht="15" customHeight="1">
      <c r="B94" s="970" t="str">
        <f>'Bdgt Yr 1'!B94</f>
        <v>2100BP</v>
      </c>
      <c r="C94" s="971"/>
      <c r="D94" s="948" t="str">
        <f>IF(ISERROR(VLOOKUP(B94,Constants!$X$2:AA$473,1,FALSE)),"No Match",VLOOKUP('Bdgt Yr 1'!B94,Constants!$X$2:$AA$473,4,FALSE))</f>
        <v>Contracted Services Pool</v>
      </c>
      <c r="E94" s="949"/>
      <c r="F94" s="1006"/>
      <c r="G94" s="1007"/>
      <c r="H94" s="1007"/>
      <c r="I94" s="1007"/>
      <c r="J94" s="1007"/>
      <c r="K94" s="1007"/>
      <c r="L94" s="1008"/>
      <c r="M94" s="134">
        <v>0</v>
      </c>
      <c r="N94" s="303">
        <f>'Cost-Share'!AD79</f>
        <v>0</v>
      </c>
    </row>
    <row r="95" spans="2:14" ht="15" customHeight="1">
      <c r="B95" s="970">
        <f>'Bdgt Yr 1'!B95</f>
        <v>219250</v>
      </c>
      <c r="C95" s="971"/>
      <c r="D95" s="948" t="str">
        <f>IF(ISERROR(VLOOKUP(B95,Constants!$X$2:AA$473,1,FALSE)),"No Match",VLOOKUP('Bdgt Yr 1'!B95,Constants!$X$2:$AA$473,4,FALSE))</f>
        <v xml:space="preserve">Honorariums         </v>
      </c>
      <c r="E95" s="949"/>
      <c r="F95" s="1006"/>
      <c r="G95" s="1007"/>
      <c r="H95" s="1007"/>
      <c r="I95" s="1007"/>
      <c r="J95" s="1007"/>
      <c r="K95" s="1007"/>
      <c r="L95" s="1008"/>
      <c r="M95" s="134">
        <v>0</v>
      </c>
      <c r="N95" s="303">
        <f>'Cost-Share'!AD80</f>
        <v>0</v>
      </c>
    </row>
    <row r="96" spans="2:14" ht="15" customHeight="1">
      <c r="B96" s="970">
        <f>'Bdgt Yr 1'!B96</f>
        <v>286010</v>
      </c>
      <c r="C96" s="971"/>
      <c r="D96" s="948" t="str">
        <f>IF(ISERROR(VLOOKUP(B96,Constants!$X$2:AA$473,1,FALSE)),"No Match",VLOOKUP('Bdgt Yr 1'!B96,Constants!$X$2:$AA$473,4,FALSE))</f>
        <v>Advertising</v>
      </c>
      <c r="E96" s="949"/>
      <c r="F96" s="1006"/>
      <c r="G96" s="1007"/>
      <c r="H96" s="1007"/>
      <c r="I96" s="1007"/>
      <c r="J96" s="1007"/>
      <c r="K96" s="1007"/>
      <c r="L96" s="1008"/>
      <c r="M96" s="134">
        <v>0</v>
      </c>
      <c r="N96" s="303">
        <f>'Cost-Share'!AD81</f>
        <v>0</v>
      </c>
    </row>
    <row r="97" spans="2:14" ht="15" customHeight="1">
      <c r="B97" s="970">
        <f>'Bdgt Yr 1'!B97</f>
        <v>282610</v>
      </c>
      <c r="C97" s="971"/>
      <c r="D97" s="948" t="str">
        <f>IF(ISERROR(VLOOKUP(B97,Constants!$X$2:AA$473,1,FALSE)),"No Match",VLOOKUP('Bdgt Yr 1'!B97,Constants!$X$2:$AA$473,4,FALSE))</f>
        <v>Software Subscriptions</v>
      </c>
      <c r="E97" s="949"/>
      <c r="F97" s="1006"/>
      <c r="G97" s="1007"/>
      <c r="H97" s="1007"/>
      <c r="I97" s="1007"/>
      <c r="J97" s="1007"/>
      <c r="K97" s="1007"/>
      <c r="L97" s="1008"/>
      <c r="M97" s="134">
        <v>0</v>
      </c>
      <c r="N97" s="303">
        <f>'Cost-Share'!AD82</f>
        <v>0</v>
      </c>
    </row>
    <row r="98" spans="2:14" ht="15" customHeight="1">
      <c r="B98" s="970">
        <f>'Bdgt Yr 1'!B98</f>
        <v>583020</v>
      </c>
      <c r="C98" s="971"/>
      <c r="D98" s="948" t="str">
        <f>IF(ISERROR(VLOOKUP(B98,Constants!$X$2:AA$473,1,FALSE)),"No Match",VLOOKUP('Bdgt Yr 1'!B98,Constants!$X$2:$AA$473,4,FALSE))</f>
        <v>Membership Dues</v>
      </c>
      <c r="E98" s="949"/>
      <c r="F98" s="1006"/>
      <c r="G98" s="1007"/>
      <c r="H98" s="1007"/>
      <c r="I98" s="1007"/>
      <c r="J98" s="1007"/>
      <c r="K98" s="1007"/>
      <c r="L98" s="1008"/>
      <c r="M98" s="134">
        <v>0</v>
      </c>
      <c r="N98" s="303">
        <f>'Cost-Share'!AD83</f>
        <v>0</v>
      </c>
    </row>
    <row r="99" spans="2:14" ht="15" customHeight="1">
      <c r="B99" s="970">
        <f>'Bdgt Yr 1'!B99</f>
        <v>284010</v>
      </c>
      <c r="C99" s="971"/>
      <c r="D99" s="948" t="str">
        <f>IF(ISERROR(VLOOKUP(B99,Constants!$X$2:AA$473,1,FALSE)),"No Match",VLOOKUP('Bdgt Yr 1'!B99,Constants!$X$2:$AA$473,4,FALSE))</f>
        <v>Postage</v>
      </c>
      <c r="E99" s="949"/>
      <c r="F99" s="1006"/>
      <c r="G99" s="1007"/>
      <c r="H99" s="1007"/>
      <c r="I99" s="1007"/>
      <c r="J99" s="1007"/>
      <c r="K99" s="1007"/>
      <c r="L99" s="1008"/>
      <c r="M99" s="134">
        <v>0</v>
      </c>
      <c r="N99" s="303">
        <f>'Cost-Share'!AD84</f>
        <v>0</v>
      </c>
    </row>
    <row r="100" spans="2:14" ht="15" customHeight="1">
      <c r="B100" s="970">
        <f>'Bdgt Yr 1'!B100</f>
        <v>284040</v>
      </c>
      <c r="C100" s="971"/>
      <c r="D100" s="948" t="str">
        <f>IF(ISERROR(VLOOKUP(B100,Constants!$X$2:AA$473,1,FALSE)),"No Match",VLOOKUP('Bdgt Yr 1'!B100,Constants!$X$2:$AA$473,4,FALSE))</f>
        <v>Freight/Delivery Services</v>
      </c>
      <c r="E100" s="949"/>
      <c r="F100" s="1006"/>
      <c r="G100" s="1007"/>
      <c r="H100" s="1007"/>
      <c r="I100" s="1007"/>
      <c r="J100" s="1007"/>
      <c r="K100" s="1007"/>
      <c r="L100" s="1008"/>
      <c r="M100" s="134">
        <v>0</v>
      </c>
      <c r="N100" s="303">
        <f>'Cost-Share'!AD85</f>
        <v>0</v>
      </c>
    </row>
    <row r="101" spans="2:14" ht="15" customHeight="1">
      <c r="B101" s="970">
        <f>'Bdgt Yr 1'!B101</f>
        <v>285010</v>
      </c>
      <c r="C101" s="971"/>
      <c r="D101" s="948" t="str">
        <f>IF(ISERROR(VLOOKUP(B101,Constants!$X$2:AA$473,1,FALSE)),"No Match",VLOOKUP('Bdgt Yr 1'!B101,Constants!$X$2:$AA$473,4,FALSE))</f>
        <v>Printing And Binding</v>
      </c>
      <c r="E101" s="949"/>
      <c r="F101" s="1006"/>
      <c r="G101" s="1007"/>
      <c r="H101" s="1007"/>
      <c r="I101" s="1007"/>
      <c r="J101" s="1007"/>
      <c r="K101" s="1007"/>
      <c r="L101" s="1008"/>
      <c r="M101" s="134">
        <v>0</v>
      </c>
      <c r="N101" s="303">
        <f>'Cost-Share'!AD86</f>
        <v>0</v>
      </c>
    </row>
    <row r="102" spans="2:14" ht="15" customHeight="1">
      <c r="B102" s="970">
        <f>'Bdgt Yr 1'!B102</f>
        <v>453410</v>
      </c>
      <c r="C102" s="971"/>
      <c r="D102" s="948" t="str">
        <f>IF(ISERROR(VLOOKUP(B102,Constants!$X$2:AA$473,1,FALSE)),"No Match",VLOOKUP('Bdgt Yr 1'!B102,Constants!$X$2:$AA$473,4,FALSE))</f>
        <v>Computer &amp; Printer Purchase Less Than $5,000 - Add $130/Year/Device for IT Services</v>
      </c>
      <c r="E102" s="949"/>
      <c r="F102" s="1006"/>
      <c r="G102" s="1007"/>
      <c r="H102" s="1007"/>
      <c r="I102" s="1007"/>
      <c r="J102" s="1007"/>
      <c r="K102" s="1007"/>
      <c r="L102" s="1008"/>
      <c r="M102" s="134">
        <v>0</v>
      </c>
      <c r="N102" s="303">
        <f>'Cost-Share'!AD87</f>
        <v>0</v>
      </c>
    </row>
    <row r="103" spans="2:14" ht="15" customHeight="1">
      <c r="B103" s="970">
        <f>'Bdgt Yr 1'!B103</f>
        <v>471310</v>
      </c>
      <c r="C103" s="971"/>
      <c r="D103" s="1549" t="str">
        <f>IF(ISERROR(VLOOKUP(B103,Constants!$X$2:AA$473,1,FALSE)),"No Match",VLOOKUP('Bdgt Yr 1'!B103,Constants!$X$2:$AA$473,4,FALSE))</f>
        <v>PC Software Purchase</v>
      </c>
      <c r="E103" s="1550"/>
      <c r="F103" s="1006"/>
      <c r="G103" s="1007"/>
      <c r="H103" s="1007"/>
      <c r="I103" s="1007"/>
      <c r="J103" s="1007"/>
      <c r="K103" s="1007"/>
      <c r="L103" s="1008"/>
      <c r="M103" s="134">
        <v>0</v>
      </c>
      <c r="N103" s="303">
        <f>'Cost-Share'!AD88</f>
        <v>0</v>
      </c>
    </row>
    <row r="104" spans="2:14" ht="15" customHeight="1">
      <c r="B104" s="970">
        <f>'Bdgt Yr 1'!B104</f>
        <v>218105</v>
      </c>
      <c r="C104" s="971"/>
      <c r="D104" s="1549" t="str">
        <f>IF(ISERROR(VLOOKUP(B104,Constants!$X$2:AA$473,1,FALSE)),"No Match",VLOOKUP('Bdgt Yr 1'!B104,Constants!$X$2:$AA$473,4,FALSE))</f>
        <v>Contract Food Services</v>
      </c>
      <c r="E104" s="1550"/>
      <c r="F104" s="1006"/>
      <c r="G104" s="1007"/>
      <c r="H104" s="1007"/>
      <c r="I104" s="1007"/>
      <c r="J104" s="1007"/>
      <c r="K104" s="1007"/>
      <c r="L104" s="1008"/>
      <c r="M104" s="134">
        <v>0</v>
      </c>
      <c r="N104" s="303">
        <f>'Cost-Share'!AD89</f>
        <v>0</v>
      </c>
    </row>
    <row r="105" spans="2:14" ht="15" customHeight="1">
      <c r="B105" s="970">
        <f>'Bdgt Yr 1'!B105</f>
        <v>218106</v>
      </c>
      <c r="C105" s="971"/>
      <c r="D105" s="1549" t="str">
        <f>IF(ISERROR(VLOOKUP(B105,Constants!$X$2:AA$473,1,FALSE)),"No Match",VLOOKUP('Bdgt Yr 1'!B105,Constants!$X$2:$AA$473,4,FALSE))</f>
        <v>Food Services for Conferences</v>
      </c>
      <c r="E105" s="1550"/>
      <c r="F105" s="1006"/>
      <c r="G105" s="1007"/>
      <c r="H105" s="1007"/>
      <c r="I105" s="1007"/>
      <c r="J105" s="1007"/>
      <c r="K105" s="1007"/>
      <c r="L105" s="1008"/>
      <c r="M105" s="134">
        <v>0</v>
      </c>
      <c r="N105" s="303">
        <f>'Cost-Share'!AD90</f>
        <v>0</v>
      </c>
    </row>
    <row r="106" spans="2:14" ht="15" customHeight="1">
      <c r="B106" s="970">
        <f>'Bdgt Yr 1'!B106</f>
        <v>341010</v>
      </c>
      <c r="C106" s="971"/>
      <c r="D106" s="1549" t="str">
        <f>IF(ISERROR(VLOOKUP(B106,Constants!$X$2:AA$473,1,FALSE)),"No Match",VLOOKUP('Bdgt Yr 1'!B106,Constants!$X$2:$AA$473,4,FALSE))</f>
        <v xml:space="preserve">Purchase of Food Products       </v>
      </c>
      <c r="E106" s="1550"/>
      <c r="F106" s="1006"/>
      <c r="G106" s="1007"/>
      <c r="H106" s="1007"/>
      <c r="I106" s="1007"/>
      <c r="J106" s="1007"/>
      <c r="K106" s="1007"/>
      <c r="L106" s="1008"/>
      <c r="M106" s="134">
        <v>0</v>
      </c>
      <c r="N106" s="303">
        <f>'Cost-Share'!AD91</f>
        <v>0</v>
      </c>
    </row>
    <row r="107" spans="2:14" ht="15" customHeight="1">
      <c r="B107" s="970">
        <f>'Bdgt Yr 1'!B107</f>
        <v>251210</v>
      </c>
      <c r="C107" s="971"/>
      <c r="D107" s="1549" t="str">
        <f>IF(ISERROR(VLOOKUP(B107,Constants!$X$2:AA$473,1,FALSE)),"No Match",VLOOKUP('Bdgt Yr 1'!B107,Constants!$X$2:$AA$473,4,FALSE))</f>
        <v>Rent/Lease Building/Office Space</v>
      </c>
      <c r="E107" s="1550"/>
      <c r="F107" s="1006"/>
      <c r="G107" s="1007"/>
      <c r="H107" s="1007"/>
      <c r="I107" s="1007"/>
      <c r="J107" s="1007"/>
      <c r="K107" s="1007"/>
      <c r="L107" s="1008"/>
      <c r="M107" s="134">
        <v>0</v>
      </c>
      <c r="N107" s="303">
        <f>'Cost-Share'!AD92</f>
        <v>0</v>
      </c>
    </row>
    <row r="108" spans="2:14" ht="15" customHeight="1">
      <c r="B108" s="970">
        <f>'Bdgt Yr 1'!B108</f>
        <v>251310</v>
      </c>
      <c r="C108" s="971"/>
      <c r="D108" s="1549" t="str">
        <f>IF(ISERROR(VLOOKUP(B108,Constants!$X$2:AA$473,1,FALSE)),"No Match",VLOOKUP('Bdgt Yr 1'!B108,Constants!$X$2:$AA$473,4,FALSE))</f>
        <v>Rent/Lease Other Facilities</v>
      </c>
      <c r="E108" s="1550"/>
      <c r="F108" s="1006"/>
      <c r="G108" s="1007"/>
      <c r="H108" s="1007"/>
      <c r="I108" s="1007"/>
      <c r="J108" s="1007"/>
      <c r="K108" s="1007"/>
      <c r="L108" s="1008"/>
      <c r="M108" s="134">
        <v>0</v>
      </c>
      <c r="N108" s="303">
        <f>'Cost-Share'!AD93</f>
        <v>0</v>
      </c>
    </row>
    <row r="109" spans="2:14" ht="15" customHeight="1">
      <c r="B109" s="970">
        <f>'Bdgt Yr 1'!B109</f>
        <v>251320</v>
      </c>
      <c r="C109" s="971"/>
      <c r="D109" s="1549" t="str">
        <f>IF(ISERROR(VLOOKUP(B109,Constants!$X$2:AA$473,1,FALSE)),"No Match",VLOOKUP('Bdgt Yr 1'!B109,Constants!$X$2:$AA$473,4,FALSE))</f>
        <v>Room Rental for Conferences</v>
      </c>
      <c r="E109" s="1550"/>
      <c r="F109" s="1006"/>
      <c r="G109" s="1007"/>
      <c r="H109" s="1007"/>
      <c r="I109" s="1007"/>
      <c r="J109" s="1007"/>
      <c r="K109" s="1007"/>
      <c r="L109" s="1008"/>
      <c r="M109" s="134">
        <v>0</v>
      </c>
      <c r="N109" s="303">
        <f>'Cost-Share'!AD94</f>
        <v>0</v>
      </c>
    </row>
    <row r="110" spans="2:14" ht="15" customHeight="1">
      <c r="B110" s="970">
        <f>'Bdgt Yr 1'!B110</f>
        <v>252110</v>
      </c>
      <c r="C110" s="971"/>
      <c r="D110" s="1549" t="str">
        <f>IF(ISERROR(VLOOKUP(B110,Constants!$X$2:AA$473,1,FALSE)),"No Match",VLOOKUP('Bdgt Yr 1'!B110,Constants!$X$2:$AA$473,4,FALSE))</f>
        <v>Rent/Lease Motor Vehicle</v>
      </c>
      <c r="E110" s="1550"/>
      <c r="F110" s="1006"/>
      <c r="G110" s="1007"/>
      <c r="H110" s="1007"/>
      <c r="I110" s="1007"/>
      <c r="J110" s="1007"/>
      <c r="K110" s="1007"/>
      <c r="L110" s="1008"/>
      <c r="M110" s="134">
        <v>0</v>
      </c>
      <c r="N110" s="303">
        <f>'Cost-Share'!AD95</f>
        <v>0</v>
      </c>
    </row>
    <row r="111" spans="2:14" ht="14.25" customHeight="1">
      <c r="B111" s="970">
        <f>'Bdgt Yr 1'!B111</f>
        <v>219912</v>
      </c>
      <c r="C111" s="971"/>
      <c r="D111" s="1549" t="str">
        <f>IF(ISERROR(VLOOKUP(B111,Constants!$X$2:AA$473,1,FALSE)),"No Match",VLOOKUP('Bdgt Yr 1'!B111,Constants!$X$2:$AA$473,4,FALSE))</f>
        <v>Research Participant Payments/Incentives</v>
      </c>
      <c r="E111" s="1550"/>
      <c r="F111" s="963"/>
      <c r="G111" s="964"/>
      <c r="H111" s="964"/>
      <c r="I111" s="964"/>
      <c r="J111" s="964"/>
      <c r="K111" s="964"/>
      <c r="L111" s="1143"/>
      <c r="M111" s="134">
        <v>0</v>
      </c>
      <c r="N111" s="303">
        <f>'Cost-Share'!AD96</f>
        <v>0</v>
      </c>
    </row>
    <row r="112" spans="2:14" ht="15.75" customHeight="1" thickBot="1">
      <c r="B112" s="970">
        <f>'Bdgt Yr 1'!B112</f>
        <v>584037</v>
      </c>
      <c r="C112" s="971"/>
      <c r="D112" s="1551" t="str">
        <f>IF(ISERROR(VLOOKUP(B112,Constants!$X$2:AA$473,1,FALSE)),"No Match",VLOOKUP('Bdgt Yr 1'!B112,Constants!$X$2:$AA$473,4,FALSE))</f>
        <v>Gift Cards--NON Employee Only</v>
      </c>
      <c r="E112" s="1552"/>
      <c r="F112" s="963"/>
      <c r="G112" s="964"/>
      <c r="H112" s="964"/>
      <c r="I112" s="964"/>
      <c r="J112" s="964"/>
      <c r="K112" s="964"/>
      <c r="L112" s="1143"/>
      <c r="M112" s="134">
        <v>0</v>
      </c>
      <c r="N112" s="303">
        <f>'Cost-Share'!AD97</f>
        <v>0</v>
      </c>
    </row>
    <row r="113" spans="2:21" ht="15" thickBot="1">
      <c r="B113" s="1553" t="s">
        <v>215</v>
      </c>
      <c r="C113" s="1554"/>
      <c r="D113" s="1554"/>
      <c r="E113" s="1554"/>
      <c r="F113" s="1554"/>
      <c r="G113" s="1554"/>
      <c r="H113" s="1554"/>
      <c r="I113" s="1554"/>
      <c r="J113" s="1554"/>
      <c r="K113" s="1554"/>
      <c r="L113" s="1555"/>
      <c r="M113" s="236">
        <f>SUM(M89:M112)</f>
        <v>0</v>
      </c>
      <c r="N113" s="273">
        <f>SUM(N89:N112)</f>
        <v>0</v>
      </c>
    </row>
    <row r="114" spans="2:21" ht="7.5" customHeight="1" thickBot="1">
      <c r="B114" s="1021"/>
      <c r="C114" s="1022"/>
      <c r="D114" s="1022"/>
      <c r="E114" s="1022"/>
      <c r="F114" s="1022"/>
      <c r="G114" s="1022"/>
      <c r="H114" s="1022"/>
      <c r="I114" s="1022"/>
      <c r="J114" s="1022"/>
      <c r="K114" s="1022"/>
      <c r="L114" s="1022"/>
      <c r="M114" s="1022"/>
      <c r="N114" s="1023"/>
    </row>
    <row r="115" spans="2:21" ht="15" thickBot="1">
      <c r="B115" s="996" t="s">
        <v>216</v>
      </c>
      <c r="C115" s="997"/>
      <c r="D115" s="997"/>
      <c r="E115" s="997"/>
      <c r="F115" s="997"/>
      <c r="G115" s="997"/>
      <c r="H115" s="997"/>
      <c r="I115" s="997"/>
      <c r="J115" s="997"/>
      <c r="K115" s="997"/>
      <c r="L115" s="1018"/>
      <c r="M115" s="236">
        <f>+M54+M67+M86+M74+M113+M62+M81</f>
        <v>0</v>
      </c>
      <c r="N115" s="304">
        <f>'Cost-Share'!AD100</f>
        <v>0</v>
      </c>
    </row>
    <row r="116" spans="2:21" ht="7.5" customHeight="1" thickBot="1">
      <c r="B116" s="1021"/>
      <c r="C116" s="1022"/>
      <c r="D116" s="1022"/>
      <c r="E116" s="1022"/>
      <c r="F116" s="1022"/>
      <c r="G116" s="1022"/>
      <c r="H116" s="1022"/>
      <c r="I116" s="1022"/>
      <c r="J116" s="1022"/>
      <c r="K116" s="1022"/>
      <c r="L116" s="1022"/>
      <c r="M116" s="1022"/>
      <c r="N116" s="1023"/>
    </row>
    <row r="117" spans="2:21" ht="15" thickBot="1">
      <c r="B117" s="1055" t="s">
        <v>217</v>
      </c>
      <c r="C117" s="1056"/>
      <c r="D117" s="1056"/>
      <c r="E117" s="1056"/>
      <c r="F117" s="1056"/>
      <c r="G117" s="1056"/>
      <c r="H117" s="1056"/>
      <c r="I117" s="1056"/>
      <c r="J117" s="1056"/>
      <c r="K117" s="1056"/>
      <c r="L117" s="1057"/>
      <c r="M117" s="236">
        <f>M62+M67+M74+M81-L81</f>
        <v>0</v>
      </c>
      <c r="N117" s="304">
        <f>'Cost-Share'!AD102</f>
        <v>0</v>
      </c>
    </row>
    <row r="118" spans="2:21" ht="7.5" customHeight="1">
      <c r="B118" s="513"/>
      <c r="C118" s="514"/>
      <c r="D118" s="514"/>
      <c r="E118" s="514"/>
      <c r="F118" s="514"/>
      <c r="G118" s="514"/>
      <c r="H118" s="514"/>
      <c r="I118" s="514"/>
      <c r="J118" s="514"/>
      <c r="K118" s="514"/>
      <c r="L118" s="514"/>
      <c r="M118" s="514"/>
      <c r="N118" s="147"/>
      <c r="R118" s="480"/>
      <c r="S118" s="480"/>
      <c r="T118" s="480"/>
      <c r="U118" s="480"/>
    </row>
    <row r="119" spans="2:21" ht="14.45" customHeight="1">
      <c r="B119" s="1048" t="s">
        <v>218</v>
      </c>
      <c r="C119" s="997"/>
      <c r="D119" s="997"/>
      <c r="E119" s="997"/>
      <c r="F119" s="997"/>
      <c r="G119" s="474" t="s">
        <v>219</v>
      </c>
      <c r="H119" s="475">
        <f>'Bdgt Yr 1'!H119</f>
        <v>0.47599999999999998</v>
      </c>
      <c r="I119" s="476"/>
      <c r="J119" s="477" t="s">
        <v>220</v>
      </c>
      <c r="K119" s="478">
        <f>M115-M117</f>
        <v>0</v>
      </c>
      <c r="L119" s="479"/>
      <c r="M119" s="236">
        <f>ROUNDUP(H119*K119,0)</f>
        <v>0</v>
      </c>
      <c r="N119" s="304">
        <f>'Cost-Share'!AD104</f>
        <v>0</v>
      </c>
      <c r="R119" s="480"/>
      <c r="S119" s="480"/>
      <c r="T119" s="480"/>
      <c r="U119" s="480"/>
    </row>
    <row r="120" spans="2:21" ht="7.5" customHeight="1">
      <c r="B120" s="1021"/>
      <c r="C120" s="1022"/>
      <c r="D120" s="1022"/>
      <c r="E120" s="1022"/>
      <c r="F120" s="1022"/>
      <c r="G120" s="1022"/>
      <c r="H120" s="1022"/>
      <c r="I120" s="1022"/>
      <c r="J120" s="1022"/>
      <c r="K120" s="1022"/>
      <c r="L120" s="1022"/>
      <c r="M120" s="1022"/>
      <c r="N120" s="1023"/>
      <c r="R120" s="480"/>
      <c r="S120" s="480"/>
      <c r="T120" s="480"/>
      <c r="U120" s="480"/>
    </row>
    <row r="121" spans="2:21" ht="15" customHeight="1" thickBot="1">
      <c r="B121" s="996" t="s">
        <v>221</v>
      </c>
      <c r="C121" s="997"/>
      <c r="D121" s="997"/>
      <c r="E121" s="997"/>
      <c r="F121" s="997"/>
      <c r="G121" s="997"/>
      <c r="H121" s="997"/>
      <c r="I121" s="997"/>
      <c r="J121" s="997"/>
      <c r="K121" s="997"/>
      <c r="L121" s="1018"/>
      <c r="M121" s="345">
        <f>+M115+M119</f>
        <v>0</v>
      </c>
      <c r="N121" s="346">
        <f>+N115+N119</f>
        <v>0</v>
      </c>
      <c r="O121" s="259" t="s">
        <v>222</v>
      </c>
      <c r="P121" s="261">
        <v>0</v>
      </c>
      <c r="R121" s="480"/>
      <c r="S121" s="480"/>
      <c r="T121" s="480"/>
      <c r="U121" s="480"/>
    </row>
    <row r="122" spans="2:21" ht="7.5" customHeight="1" thickBot="1">
      <c r="B122" s="1021"/>
      <c r="C122" s="1022"/>
      <c r="D122" s="1022"/>
      <c r="E122" s="1022"/>
      <c r="F122" s="1022"/>
      <c r="G122" s="1022"/>
      <c r="H122" s="1022"/>
      <c r="I122" s="1022"/>
      <c r="J122" s="1022"/>
      <c r="K122" s="1022"/>
      <c r="L122" s="1022"/>
      <c r="M122" s="1022"/>
      <c r="N122" s="1023"/>
      <c r="O122" s="195"/>
      <c r="P122" s="195"/>
    </row>
    <row r="123" spans="2:21" ht="15" thickBot="1">
      <c r="B123" s="482"/>
      <c r="C123" s="483"/>
      <c r="D123" s="483"/>
      <c r="E123" s="483"/>
      <c r="F123" s="483"/>
      <c r="G123" s="483"/>
      <c r="H123" s="483"/>
      <c r="I123" s="483"/>
      <c r="J123" s="483"/>
      <c r="K123" s="483"/>
      <c r="L123" s="484" t="s">
        <v>236</v>
      </c>
      <c r="M123" s="1024">
        <f>+M121+N121</f>
        <v>0</v>
      </c>
      <c r="N123" s="1025"/>
      <c r="O123" s="259" t="s">
        <v>224</v>
      </c>
      <c r="P123" s="261">
        <f>(P121-M117)/(H119+1)</f>
        <v>0</v>
      </c>
      <c r="R123" s="480"/>
      <c r="S123" s="480"/>
      <c r="T123" s="480"/>
      <c r="U123" s="480"/>
    </row>
    <row r="124" spans="2:21">
      <c r="B124" s="1005"/>
      <c r="C124" s="1005"/>
      <c r="D124" s="1005"/>
      <c r="E124" s="1005"/>
      <c r="F124" s="1005"/>
      <c r="G124" s="1005"/>
      <c r="H124" s="1005"/>
      <c r="I124" s="1005"/>
      <c r="J124" s="1005"/>
      <c r="K124" s="1005"/>
      <c r="L124" s="1005"/>
      <c r="M124" s="1005"/>
      <c r="N124" s="1005"/>
      <c r="R124" s="487"/>
      <c r="S124" s="487"/>
      <c r="T124" s="487"/>
      <c r="U124" s="487"/>
    </row>
    <row r="125" spans="2:21">
      <c r="B125" s="1005"/>
      <c r="C125" s="1005"/>
      <c r="D125" s="1005"/>
      <c r="E125" s="1005"/>
      <c r="F125" s="1005"/>
      <c r="G125" s="1005"/>
      <c r="H125" s="1005"/>
      <c r="I125" s="1005"/>
      <c r="J125" s="1005"/>
      <c r="K125" s="1005"/>
      <c r="L125" s="1005"/>
      <c r="M125" s="1005"/>
      <c r="N125" s="1005"/>
      <c r="R125" s="480"/>
      <c r="S125" s="480"/>
      <c r="T125" s="480"/>
      <c r="U125" s="480"/>
    </row>
    <row r="126" spans="2:21">
      <c r="B126" s="481"/>
      <c r="C126" s="473"/>
      <c r="D126" s="473"/>
      <c r="E126" s="473"/>
      <c r="F126" s="473"/>
      <c r="G126" s="473"/>
      <c r="H126" s="485"/>
      <c r="I126" s="485"/>
      <c r="J126" s="485"/>
      <c r="K126" s="485"/>
      <c r="L126" s="486"/>
      <c r="M126" s="486"/>
      <c r="N126" s="486"/>
      <c r="R126" s="487"/>
      <c r="S126" s="487"/>
      <c r="T126" s="487"/>
      <c r="U126" s="487"/>
    </row>
    <row r="127" spans="2:21">
      <c r="B127" s="481"/>
      <c r="C127" s="473"/>
      <c r="D127" s="473"/>
      <c r="E127" s="473"/>
      <c r="F127" s="473"/>
      <c r="G127" s="473"/>
      <c r="H127" s="485"/>
      <c r="I127" s="485"/>
      <c r="J127" s="485"/>
      <c r="K127" s="485"/>
      <c r="L127" s="486"/>
      <c r="M127" s="486"/>
      <c r="N127" s="486"/>
      <c r="O127" s="486"/>
      <c r="P127" s="486"/>
      <c r="R127" s="480"/>
      <c r="S127" s="480"/>
      <c r="T127" s="480"/>
      <c r="U127" s="480"/>
    </row>
    <row r="128" spans="2:21">
      <c r="B128" s="481"/>
      <c r="C128" s="473"/>
      <c r="D128" s="473"/>
      <c r="E128" s="473"/>
      <c r="F128" s="473"/>
      <c r="G128" s="473"/>
      <c r="H128" s="485"/>
      <c r="I128" s="485"/>
      <c r="J128" s="485"/>
      <c r="K128" s="485"/>
      <c r="L128" s="486"/>
      <c r="M128" s="486"/>
      <c r="N128" s="486"/>
      <c r="O128" s="486"/>
      <c r="P128" s="486"/>
      <c r="R128" s="487"/>
      <c r="S128" s="487"/>
      <c r="T128" s="487"/>
      <c r="U128" s="487"/>
    </row>
    <row r="129" spans="2:21">
      <c r="B129" s="481"/>
      <c r="C129" s="473"/>
      <c r="D129" s="473"/>
      <c r="E129" s="473"/>
      <c r="F129" s="473"/>
      <c r="G129" s="473"/>
      <c r="H129" s="485"/>
      <c r="I129" s="485"/>
      <c r="J129" s="485"/>
      <c r="K129" s="485"/>
      <c r="L129" s="486"/>
      <c r="M129" s="486"/>
      <c r="N129" s="486"/>
      <c r="O129" s="486"/>
      <c r="P129" s="486"/>
      <c r="R129" s="480"/>
      <c r="S129" s="480"/>
      <c r="T129" s="480"/>
      <c r="U129" s="480"/>
    </row>
    <row r="130" spans="2:21">
      <c r="B130" s="481"/>
      <c r="C130" s="473"/>
      <c r="D130" s="473"/>
      <c r="E130" s="473"/>
      <c r="F130" s="473"/>
      <c r="G130" s="473"/>
      <c r="H130" s="485"/>
      <c r="I130" s="485"/>
      <c r="J130" s="485"/>
      <c r="K130" s="485"/>
      <c r="L130" s="486"/>
      <c r="M130" s="486"/>
      <c r="N130" s="486"/>
      <c r="O130" s="486"/>
      <c r="P130" s="486"/>
      <c r="R130" s="487"/>
      <c r="S130" s="487"/>
      <c r="T130" s="487"/>
      <c r="U130" s="487"/>
    </row>
    <row r="131" spans="2:21">
      <c r="B131" s="481"/>
      <c r="C131" s="473"/>
      <c r="D131" s="473"/>
      <c r="E131" s="473"/>
      <c r="F131" s="473"/>
      <c r="G131" s="473"/>
      <c r="H131" s="473"/>
      <c r="I131" s="473"/>
      <c r="J131" s="486"/>
      <c r="K131" s="486"/>
      <c r="L131" s="486"/>
      <c r="M131" s="486"/>
      <c r="N131" s="486"/>
      <c r="O131" s="486"/>
      <c r="P131" s="486"/>
      <c r="R131" s="487"/>
      <c r="S131" s="487"/>
      <c r="T131" s="487"/>
      <c r="U131" s="487"/>
    </row>
    <row r="132" spans="2:21">
      <c r="B132" s="481"/>
      <c r="C132" s="473"/>
      <c r="D132" s="473"/>
      <c r="E132" s="473"/>
      <c r="F132" s="473"/>
      <c r="G132" s="473"/>
      <c r="H132" s="473"/>
      <c r="I132" s="473"/>
      <c r="J132" s="486"/>
      <c r="K132" s="486"/>
      <c r="L132" s="486"/>
      <c r="M132" s="473"/>
      <c r="N132" s="473"/>
      <c r="O132" s="473"/>
      <c r="P132" s="473"/>
      <c r="R132" s="487"/>
      <c r="S132" s="487"/>
      <c r="T132" s="487"/>
      <c r="U132" s="487"/>
    </row>
    <row r="133" spans="2:21">
      <c r="B133" s="481"/>
      <c r="C133" s="473"/>
      <c r="D133" s="473"/>
      <c r="E133" s="473"/>
      <c r="F133" s="473"/>
      <c r="G133" s="473"/>
      <c r="H133" s="473"/>
      <c r="I133" s="473"/>
      <c r="J133" s="486"/>
      <c r="K133" s="486"/>
      <c r="L133" s="486"/>
      <c r="M133" s="486"/>
      <c r="N133" s="486"/>
      <c r="O133" s="486"/>
      <c r="P133" s="486"/>
      <c r="R133" s="487"/>
      <c r="S133" s="487"/>
      <c r="T133" s="487"/>
      <c r="U133" s="487"/>
    </row>
    <row r="134" spans="2:21">
      <c r="B134" s="481"/>
      <c r="C134" s="473"/>
      <c r="D134" s="473"/>
      <c r="E134" s="473"/>
      <c r="F134" s="473"/>
      <c r="G134" s="473"/>
      <c r="H134" s="473"/>
      <c r="I134" s="473"/>
      <c r="J134" s="486"/>
      <c r="K134" s="486"/>
      <c r="L134" s="486"/>
      <c r="M134" s="473"/>
      <c r="N134" s="473"/>
      <c r="O134" s="473"/>
      <c r="P134" s="473"/>
      <c r="R134" s="487"/>
      <c r="S134" s="487"/>
      <c r="T134" s="487"/>
      <c r="U134" s="487"/>
    </row>
    <row r="135" spans="2:21">
      <c r="B135" s="481"/>
      <c r="C135" s="473"/>
      <c r="D135" s="473"/>
      <c r="E135" s="473"/>
      <c r="F135" s="473"/>
      <c r="G135" s="473"/>
      <c r="H135" s="486"/>
      <c r="I135" s="486"/>
      <c r="J135" s="486"/>
      <c r="K135" s="486"/>
      <c r="L135" s="486"/>
      <c r="M135" s="486"/>
      <c r="N135" s="486"/>
      <c r="O135" s="486"/>
      <c r="P135" s="486"/>
      <c r="R135" s="487"/>
      <c r="S135" s="487"/>
      <c r="T135" s="487"/>
      <c r="U135" s="487"/>
    </row>
    <row r="136" spans="2:21">
      <c r="B136" s="488"/>
      <c r="C136" s="473"/>
      <c r="D136" s="473"/>
      <c r="E136" s="473"/>
      <c r="F136" s="473"/>
      <c r="G136" s="473"/>
      <c r="H136" s="473"/>
      <c r="I136" s="473"/>
      <c r="J136" s="486"/>
      <c r="K136" s="486"/>
      <c r="L136" s="486"/>
      <c r="M136" s="473"/>
      <c r="N136" s="473"/>
      <c r="O136" s="473"/>
      <c r="P136" s="473"/>
      <c r="R136" s="487"/>
      <c r="S136" s="487"/>
      <c r="T136" s="487"/>
      <c r="U136" s="487"/>
    </row>
    <row r="137" spans="2:21">
      <c r="B137" s="488"/>
      <c r="C137" s="473"/>
      <c r="D137" s="473"/>
      <c r="E137" s="473"/>
      <c r="F137" s="473"/>
      <c r="G137" s="473"/>
      <c r="H137" s="473"/>
      <c r="I137" s="473"/>
      <c r="J137" s="486"/>
      <c r="K137" s="486"/>
      <c r="L137" s="486"/>
      <c r="M137" s="486"/>
      <c r="N137" s="486"/>
      <c r="O137" s="486"/>
      <c r="P137" s="486"/>
      <c r="R137" s="487"/>
      <c r="S137" s="487"/>
      <c r="T137" s="487"/>
      <c r="U137" s="487"/>
    </row>
    <row r="138" spans="2:21">
      <c r="B138" s="488"/>
      <c r="C138" s="473"/>
      <c r="D138" s="473"/>
      <c r="E138" s="473"/>
      <c r="F138" s="473"/>
      <c r="G138" s="473"/>
      <c r="H138" s="473"/>
      <c r="I138" s="473"/>
      <c r="J138" s="473"/>
      <c r="K138" s="473"/>
      <c r="L138" s="473"/>
      <c r="M138" s="473"/>
      <c r="N138" s="473"/>
      <c r="O138" s="473"/>
      <c r="P138" s="473"/>
      <c r="R138" s="487"/>
      <c r="S138" s="487"/>
      <c r="T138" s="487"/>
      <c r="U138" s="487"/>
    </row>
    <row r="139" spans="2:21">
      <c r="B139" s="488"/>
      <c r="C139" s="473"/>
      <c r="D139" s="473"/>
      <c r="E139" s="473"/>
      <c r="F139" s="473"/>
      <c r="G139" s="473"/>
      <c r="H139" s="473"/>
      <c r="I139" s="473"/>
      <c r="J139" s="473"/>
      <c r="K139" s="473"/>
      <c r="L139" s="473"/>
      <c r="M139" s="473"/>
      <c r="N139" s="473"/>
      <c r="O139" s="473"/>
      <c r="P139" s="473"/>
      <c r="R139" s="487"/>
      <c r="S139" s="487"/>
      <c r="T139" s="487"/>
      <c r="U139" s="487"/>
    </row>
    <row r="140" spans="2:21">
      <c r="B140" s="488"/>
      <c r="C140" s="473"/>
      <c r="D140" s="473"/>
      <c r="E140" s="473"/>
      <c r="F140" s="473"/>
      <c r="G140" s="473"/>
      <c r="H140" s="473"/>
      <c r="I140" s="473"/>
      <c r="J140" s="473"/>
      <c r="K140" s="473"/>
      <c r="L140" s="473"/>
      <c r="M140" s="473"/>
      <c r="N140" s="473"/>
      <c r="O140" s="473"/>
      <c r="P140" s="473"/>
      <c r="R140" s="487"/>
      <c r="S140" s="487"/>
      <c r="T140" s="487"/>
      <c r="U140" s="487"/>
    </row>
    <row r="141" spans="2:21">
      <c r="B141" s="488"/>
      <c r="C141" s="473"/>
      <c r="D141" s="473"/>
      <c r="E141" s="473"/>
      <c r="F141" s="473"/>
      <c r="G141" s="473"/>
      <c r="H141" s="473"/>
      <c r="I141" s="473"/>
      <c r="J141" s="473"/>
      <c r="K141" s="473"/>
      <c r="L141" s="473"/>
      <c r="M141" s="473"/>
      <c r="N141" s="473"/>
      <c r="O141" s="473"/>
      <c r="P141" s="473"/>
      <c r="R141" s="487"/>
      <c r="S141" s="487"/>
      <c r="T141" s="487"/>
      <c r="U141" s="487"/>
    </row>
    <row r="142" spans="2:21">
      <c r="B142" s="488"/>
      <c r="C142" s="473"/>
      <c r="D142" s="473"/>
      <c r="E142" s="473"/>
      <c r="F142" s="473"/>
      <c r="G142" s="473"/>
      <c r="H142" s="473"/>
      <c r="I142" s="473"/>
      <c r="J142" s="473"/>
      <c r="K142" s="473"/>
      <c r="L142" s="473"/>
      <c r="M142" s="473"/>
      <c r="N142" s="473"/>
      <c r="O142" s="473"/>
      <c r="P142" s="473"/>
      <c r="R142" s="487"/>
      <c r="S142" s="487"/>
      <c r="T142" s="487"/>
      <c r="U142" s="487"/>
    </row>
    <row r="143" spans="2:21">
      <c r="B143" s="488"/>
      <c r="C143" s="473"/>
      <c r="D143" s="473"/>
      <c r="E143" s="473"/>
      <c r="F143" s="473"/>
      <c r="G143" s="473"/>
      <c r="H143" s="473"/>
      <c r="I143" s="473"/>
      <c r="J143" s="473"/>
      <c r="K143" s="473"/>
      <c r="L143" s="473"/>
      <c r="M143" s="473"/>
      <c r="N143" s="473"/>
      <c r="O143" s="473"/>
      <c r="P143" s="473"/>
      <c r="R143" s="487"/>
      <c r="S143" s="487"/>
      <c r="T143" s="487"/>
      <c r="U143" s="487"/>
    </row>
    <row r="144" spans="2:21">
      <c r="B144" s="488"/>
      <c r="C144" s="473"/>
      <c r="D144" s="473"/>
      <c r="E144" s="473"/>
      <c r="F144" s="473"/>
      <c r="G144" s="473"/>
      <c r="H144" s="473"/>
      <c r="I144" s="473"/>
      <c r="J144" s="473"/>
      <c r="K144" s="473"/>
      <c r="L144" s="473"/>
      <c r="M144" s="473"/>
      <c r="N144" s="473"/>
      <c r="O144" s="473"/>
      <c r="P144" s="473"/>
      <c r="R144" s="487"/>
      <c r="S144" s="487"/>
      <c r="T144" s="487"/>
      <c r="U144" s="487"/>
    </row>
    <row r="145" spans="2:21">
      <c r="B145" s="488"/>
      <c r="C145" s="473"/>
      <c r="D145" s="473"/>
      <c r="E145" s="473"/>
      <c r="F145" s="473"/>
      <c r="G145" s="473"/>
      <c r="H145" s="473"/>
      <c r="I145" s="473"/>
      <c r="J145" s="473"/>
      <c r="K145" s="473"/>
      <c r="L145" s="473"/>
      <c r="M145" s="473"/>
      <c r="N145" s="473"/>
      <c r="O145" s="473"/>
      <c r="P145" s="473"/>
      <c r="R145" s="487"/>
      <c r="S145" s="487"/>
      <c r="T145" s="487"/>
      <c r="U145" s="487"/>
    </row>
    <row r="146" spans="2:21">
      <c r="B146" s="488"/>
      <c r="C146" s="473"/>
      <c r="D146" s="473"/>
      <c r="E146" s="473"/>
      <c r="F146" s="473"/>
      <c r="G146" s="473"/>
      <c r="H146" s="473"/>
      <c r="I146" s="473"/>
      <c r="J146" s="473"/>
      <c r="K146" s="473"/>
      <c r="L146" s="473"/>
      <c r="M146" s="473"/>
      <c r="N146" s="473"/>
      <c r="O146" s="473"/>
      <c r="P146" s="473"/>
      <c r="R146" s="487"/>
      <c r="S146" s="487"/>
      <c r="T146" s="487"/>
      <c r="U146" s="487"/>
    </row>
    <row r="147" spans="2:21">
      <c r="B147" s="488"/>
      <c r="C147" s="473"/>
      <c r="D147" s="473"/>
      <c r="E147" s="473"/>
      <c r="F147" s="473"/>
      <c r="G147" s="473"/>
      <c r="H147" s="473"/>
      <c r="I147" s="473"/>
      <c r="J147" s="473"/>
      <c r="K147" s="473"/>
      <c r="L147" s="473"/>
      <c r="M147" s="473"/>
      <c r="N147" s="473"/>
      <c r="O147" s="473"/>
      <c r="P147" s="473"/>
    </row>
    <row r="148" spans="2:21">
      <c r="B148" s="488"/>
      <c r="C148" s="473"/>
      <c r="D148" s="473"/>
      <c r="E148" s="473"/>
      <c r="F148" s="473"/>
      <c r="G148" s="473"/>
      <c r="H148" s="473"/>
      <c r="I148" s="473"/>
      <c r="J148" s="473"/>
      <c r="K148" s="473"/>
      <c r="L148" s="473"/>
      <c r="M148" s="473"/>
      <c r="N148" s="473"/>
      <c r="O148" s="473"/>
      <c r="P148" s="473"/>
    </row>
    <row r="149" spans="2:21">
      <c r="B149" s="488"/>
      <c r="C149" s="473"/>
      <c r="D149" s="473"/>
      <c r="E149" s="473"/>
      <c r="F149" s="473"/>
      <c r="G149" s="473"/>
      <c r="H149" s="473"/>
      <c r="I149" s="473"/>
      <c r="J149" s="473"/>
      <c r="K149" s="473"/>
      <c r="L149" s="473"/>
      <c r="M149" s="473"/>
      <c r="N149" s="473"/>
      <c r="O149" s="473"/>
      <c r="P149" s="473"/>
    </row>
    <row r="150" spans="2:21">
      <c r="B150" s="488"/>
      <c r="C150" s="473"/>
      <c r="D150" s="473"/>
      <c r="E150" s="473"/>
      <c r="F150" s="473"/>
      <c r="G150" s="473"/>
      <c r="H150" s="473"/>
      <c r="I150" s="473"/>
      <c r="J150" s="473"/>
      <c r="K150" s="473"/>
      <c r="L150" s="473"/>
      <c r="M150" s="473"/>
      <c r="N150" s="473"/>
      <c r="O150" s="473"/>
      <c r="P150" s="473"/>
    </row>
    <row r="151" spans="2:21" hidden="1">
      <c r="B151" s="488"/>
      <c r="C151" s="473"/>
      <c r="D151" s="473"/>
      <c r="E151" s="473"/>
      <c r="F151" s="473"/>
      <c r="G151" s="473"/>
      <c r="H151" s="473"/>
      <c r="I151" s="473"/>
      <c r="J151" s="473"/>
      <c r="K151" s="473"/>
      <c r="L151" s="473"/>
      <c r="M151" s="473"/>
      <c r="N151" s="473"/>
      <c r="O151" s="473"/>
      <c r="P151" s="473"/>
    </row>
    <row r="152" spans="2:21" hidden="1">
      <c r="B152" s="488"/>
      <c r="C152" s="473"/>
      <c r="D152" s="473"/>
      <c r="E152" s="473"/>
      <c r="F152" s="473"/>
      <c r="G152" s="473"/>
      <c r="H152" s="473"/>
      <c r="I152" s="473"/>
      <c r="J152" s="473"/>
      <c r="K152" s="473"/>
      <c r="L152" s="473"/>
      <c r="M152" s="473"/>
      <c r="N152" s="473"/>
      <c r="O152" s="473"/>
      <c r="P152" s="473"/>
    </row>
    <row r="153" spans="2:21">
      <c r="B153" s="488"/>
      <c r="C153" s="473"/>
      <c r="D153" s="473"/>
      <c r="E153" s="473"/>
      <c r="F153" s="473"/>
      <c r="G153" s="473"/>
      <c r="H153" s="473"/>
      <c r="I153" s="473"/>
      <c r="J153" s="473"/>
      <c r="K153" s="473"/>
      <c r="L153" s="473"/>
      <c r="M153" s="473"/>
      <c r="N153" s="473"/>
      <c r="O153" s="473"/>
      <c r="P153" s="473"/>
    </row>
    <row r="154" spans="2:21">
      <c r="B154" s="488"/>
      <c r="C154" s="473"/>
      <c r="D154" s="473"/>
      <c r="E154" s="473"/>
      <c r="F154" s="473"/>
      <c r="G154" s="473"/>
      <c r="H154" s="473"/>
      <c r="I154" s="473"/>
      <c r="J154" s="473"/>
      <c r="K154" s="473"/>
      <c r="L154" s="473"/>
      <c r="M154" s="473"/>
      <c r="N154" s="473"/>
      <c r="O154" s="473"/>
      <c r="P154" s="473"/>
    </row>
    <row r="155" spans="2:21"/>
    <row r="156" spans="2:21"/>
    <row r="157" spans="2:21"/>
    <row r="158" spans="2:21"/>
    <row r="159" spans="2:21"/>
    <row r="160" spans="2:21"/>
    <row r="161"/>
    <row r="162"/>
    <row r="163"/>
    <row r="164"/>
    <row r="165"/>
    <row r="166"/>
    <row r="167"/>
    <row r="168"/>
    <row r="169"/>
    <row r="170"/>
    <row r="171"/>
    <row r="172"/>
    <row r="173"/>
    <row r="174"/>
    <row r="175"/>
    <row r="176"/>
    <row r="177"/>
    <row r="178"/>
    <row r="179"/>
    <row r="180"/>
  </sheetData>
  <protectedRanges>
    <protectedRange sqref="I12:J23 M77:M80 F89:M112 F30:J31 D30:D31 D37:D38 F45:J48 D45:D48 F61:M61 D59:D61 F70:M73 D70:D73 F65:M66 D65:D66 F77:K80 D77:D80 F84:M85 D84:D85 B12:G23 F59:L60 F37:H38 J37:K38" name="Range1"/>
    <protectedRange sqref="F49:J51 E49 D50:D51" name="Range1_1"/>
    <protectedRange sqref="B45:C51 D49" name="Range1_5"/>
    <protectedRange sqref="B30:C31" name="Range1_4_1"/>
    <protectedRange sqref="B37:C38" name="Range1_4_2"/>
    <protectedRange sqref="M59:M60" name="Range1_2"/>
  </protectedRanges>
  <mergeCells count="249">
    <mergeCell ref="B116:N116"/>
    <mergeCell ref="B109:C109"/>
    <mergeCell ref="B111:C111"/>
    <mergeCell ref="F111:L111"/>
    <mergeCell ref="F112:L112"/>
    <mergeCell ref="F88:M88"/>
    <mergeCell ref="B90:C90"/>
    <mergeCell ref="B91:C91"/>
    <mergeCell ref="B92:C92"/>
    <mergeCell ref="B93:C93"/>
    <mergeCell ref="B94:C94"/>
    <mergeCell ref="B95:C95"/>
    <mergeCell ref="B96:C96"/>
    <mergeCell ref="B89:C89"/>
    <mergeCell ref="F104:L104"/>
    <mergeCell ref="F89:L89"/>
    <mergeCell ref="F90:L90"/>
    <mergeCell ref="F91:L91"/>
    <mergeCell ref="F92:L92"/>
    <mergeCell ref="F93:L93"/>
    <mergeCell ref="F94:L94"/>
    <mergeCell ref="F95:L95"/>
    <mergeCell ref="B114:N114"/>
    <mergeCell ref="B98:C98"/>
    <mergeCell ref="B100:C100"/>
    <mergeCell ref="B101:C101"/>
    <mergeCell ref="B102:C102"/>
    <mergeCell ref="B103:C103"/>
    <mergeCell ref="B104:C104"/>
    <mergeCell ref="F97:L97"/>
    <mergeCell ref="F98:L98"/>
    <mergeCell ref="F99:L99"/>
    <mergeCell ref="F100:L100"/>
    <mergeCell ref="F101:L101"/>
    <mergeCell ref="F102:L102"/>
    <mergeCell ref="F103:L103"/>
    <mergeCell ref="D100:E100"/>
    <mergeCell ref="D60:E60"/>
    <mergeCell ref="D61:E61"/>
    <mergeCell ref="D70:E70"/>
    <mergeCell ref="F76:M76"/>
    <mergeCell ref="D80:E80"/>
    <mergeCell ref="B65:C65"/>
    <mergeCell ref="D71:E71"/>
    <mergeCell ref="B77:C77"/>
    <mergeCell ref="B78:C78"/>
    <mergeCell ref="B79:C79"/>
    <mergeCell ref="B80:C80"/>
    <mergeCell ref="F79:K79"/>
    <mergeCell ref="D72:E72"/>
    <mergeCell ref="D73:E73"/>
    <mergeCell ref="F80:K80"/>
    <mergeCell ref="R6:U6"/>
    <mergeCell ref="B6:P6"/>
    <mergeCell ref="R28:U28"/>
    <mergeCell ref="R43:U43"/>
    <mergeCell ref="B25:M25"/>
    <mergeCell ref="B10:M10"/>
    <mergeCell ref="B28:M28"/>
    <mergeCell ref="N28:P28"/>
    <mergeCell ref="B43:M43"/>
    <mergeCell ref="N43:P43"/>
    <mergeCell ref="R10:U10"/>
    <mergeCell ref="N10:P10"/>
    <mergeCell ref="F17:G17"/>
    <mergeCell ref="F18:G18"/>
    <mergeCell ref="F12:G12"/>
    <mergeCell ref="F13:G13"/>
    <mergeCell ref="F14:G14"/>
    <mergeCell ref="F15:G15"/>
    <mergeCell ref="F16:G16"/>
    <mergeCell ref="B29:C29"/>
    <mergeCell ref="B30:C30"/>
    <mergeCell ref="B31:C31"/>
    <mergeCell ref="N35:P35"/>
    <mergeCell ref="F19:G19"/>
    <mergeCell ref="B117:L117"/>
    <mergeCell ref="B97:C97"/>
    <mergeCell ref="M2:P3"/>
    <mergeCell ref="C4:I4"/>
    <mergeCell ref="F2:H3"/>
    <mergeCell ref="I2:K3"/>
    <mergeCell ref="L2:L3"/>
    <mergeCell ref="L4:P4"/>
    <mergeCell ref="B7:M7"/>
    <mergeCell ref="F11:G11"/>
    <mergeCell ref="B8:P8"/>
    <mergeCell ref="B57:M57"/>
    <mergeCell ref="B75:M75"/>
    <mergeCell ref="B59:C59"/>
    <mergeCell ref="B60:C60"/>
    <mergeCell ref="B61:C61"/>
    <mergeCell ref="F61:L61"/>
    <mergeCell ref="B67:L67"/>
    <mergeCell ref="B58:E58"/>
    <mergeCell ref="F58:G58"/>
    <mergeCell ref="H58:I58"/>
    <mergeCell ref="H59:I59"/>
    <mergeCell ref="H60:I60"/>
    <mergeCell ref="F59:G59"/>
    <mergeCell ref="B124:N125"/>
    <mergeCell ref="F83:M83"/>
    <mergeCell ref="F64:M64"/>
    <mergeCell ref="B74:L74"/>
    <mergeCell ref="B73:C73"/>
    <mergeCell ref="B63:M63"/>
    <mergeCell ref="J59:L59"/>
    <mergeCell ref="J60:L60"/>
    <mergeCell ref="F71:L71"/>
    <mergeCell ref="F72:L72"/>
    <mergeCell ref="B84:C84"/>
    <mergeCell ref="B112:C112"/>
    <mergeCell ref="B120:N120"/>
    <mergeCell ref="M123:N123"/>
    <mergeCell ref="B122:N122"/>
    <mergeCell ref="F109:L109"/>
    <mergeCell ref="B86:L86"/>
    <mergeCell ref="B88:E88"/>
    <mergeCell ref="F78:K78"/>
    <mergeCell ref="B81:K81"/>
    <mergeCell ref="F84:L84"/>
    <mergeCell ref="F85:L85"/>
    <mergeCell ref="B68:M68"/>
    <mergeCell ref="D79:E79"/>
    <mergeCell ref="B35:M35"/>
    <mergeCell ref="R35:U35"/>
    <mergeCell ref="B42:M42"/>
    <mergeCell ref="K49:K51"/>
    <mergeCell ref="B121:L121"/>
    <mergeCell ref="F73:L73"/>
    <mergeCell ref="B119:F119"/>
    <mergeCell ref="B115:L115"/>
    <mergeCell ref="B113:L113"/>
    <mergeCell ref="B85:C85"/>
    <mergeCell ref="B70:C70"/>
    <mergeCell ref="B71:C71"/>
    <mergeCell ref="B72:C72"/>
    <mergeCell ref="B105:C105"/>
    <mergeCell ref="B106:C106"/>
    <mergeCell ref="B110:C110"/>
    <mergeCell ref="B76:E76"/>
    <mergeCell ref="F105:L105"/>
    <mergeCell ref="F106:L106"/>
    <mergeCell ref="F107:L107"/>
    <mergeCell ref="F108:L108"/>
    <mergeCell ref="F110:L110"/>
    <mergeCell ref="B82:M82"/>
    <mergeCell ref="F77:K77"/>
    <mergeCell ref="R8:U8"/>
    <mergeCell ref="B9:M9"/>
    <mergeCell ref="B26:P26"/>
    <mergeCell ref="R26:U26"/>
    <mergeCell ref="B27:M27"/>
    <mergeCell ref="B32:M32"/>
    <mergeCell ref="B33:P33"/>
    <mergeCell ref="R33:U33"/>
    <mergeCell ref="B34:M34"/>
    <mergeCell ref="F20:G20"/>
    <mergeCell ref="F21:G21"/>
    <mergeCell ref="F22:G22"/>
    <mergeCell ref="F23:G23"/>
    <mergeCell ref="B24:J24"/>
    <mergeCell ref="D29:G29"/>
    <mergeCell ref="D30:G30"/>
    <mergeCell ref="D31:G31"/>
    <mergeCell ref="B36:C36"/>
    <mergeCell ref="H49:I49"/>
    <mergeCell ref="B41:P41"/>
    <mergeCell ref="B44:C44"/>
    <mergeCell ref="B45:C45"/>
    <mergeCell ref="B46:C46"/>
    <mergeCell ref="B47:C47"/>
    <mergeCell ref="B39:J39"/>
    <mergeCell ref="B37:C37"/>
    <mergeCell ref="B38:C38"/>
    <mergeCell ref="H36:I36"/>
    <mergeCell ref="H37:I37"/>
    <mergeCell ref="D92:E92"/>
    <mergeCell ref="D93:E93"/>
    <mergeCell ref="D94:E94"/>
    <mergeCell ref="D95:E95"/>
    <mergeCell ref="D96:E96"/>
    <mergeCell ref="D97:E97"/>
    <mergeCell ref="D98:E98"/>
    <mergeCell ref="D99:E99"/>
    <mergeCell ref="D46:G46"/>
    <mergeCell ref="D47:G47"/>
    <mergeCell ref="D48:G48"/>
    <mergeCell ref="D49:G49"/>
    <mergeCell ref="F70:L70"/>
    <mergeCell ref="D84:E84"/>
    <mergeCell ref="B83:E83"/>
    <mergeCell ref="F96:L96"/>
    <mergeCell ref="D85:E85"/>
    <mergeCell ref="D91:E91"/>
    <mergeCell ref="D90:E90"/>
    <mergeCell ref="B87:M87"/>
    <mergeCell ref="B99:C99"/>
    <mergeCell ref="B66:C66"/>
    <mergeCell ref="F66:L66"/>
    <mergeCell ref="D59:E59"/>
    <mergeCell ref="D2:E3"/>
    <mergeCell ref="D101:E101"/>
    <mergeCell ref="D102:E102"/>
    <mergeCell ref="D103:E103"/>
    <mergeCell ref="D104:E104"/>
    <mergeCell ref="D105:E105"/>
    <mergeCell ref="D106:E106"/>
    <mergeCell ref="D107:E107"/>
    <mergeCell ref="B54:J54"/>
    <mergeCell ref="B52:J52"/>
    <mergeCell ref="B53:M53"/>
    <mergeCell ref="D65:E65"/>
    <mergeCell ref="D66:E66"/>
    <mergeCell ref="H50:I50"/>
    <mergeCell ref="H51:I51"/>
    <mergeCell ref="B40:M40"/>
    <mergeCell ref="B48:C48"/>
    <mergeCell ref="B49:C49"/>
    <mergeCell ref="D36:G36"/>
    <mergeCell ref="D37:G37"/>
    <mergeCell ref="D38:G38"/>
    <mergeCell ref="D44:G44"/>
    <mergeCell ref="D45:G45"/>
    <mergeCell ref="H38:I38"/>
    <mergeCell ref="R41:U41"/>
    <mergeCell ref="B55:M55"/>
    <mergeCell ref="B62:L62"/>
    <mergeCell ref="D110:E110"/>
    <mergeCell ref="D111:E111"/>
    <mergeCell ref="D112:E112"/>
    <mergeCell ref="D109:E109"/>
    <mergeCell ref="D77:E77"/>
    <mergeCell ref="D78:E78"/>
    <mergeCell ref="J58:L58"/>
    <mergeCell ref="B56:P56"/>
    <mergeCell ref="B64:E64"/>
    <mergeCell ref="B69:E69"/>
    <mergeCell ref="F69:M69"/>
    <mergeCell ref="B50:C50"/>
    <mergeCell ref="B51:C51"/>
    <mergeCell ref="D50:G50"/>
    <mergeCell ref="D51:G51"/>
    <mergeCell ref="B107:C107"/>
    <mergeCell ref="B108:C108"/>
    <mergeCell ref="D89:E89"/>
    <mergeCell ref="F60:G60"/>
    <mergeCell ref="F65:L65"/>
    <mergeCell ref="D108:E108"/>
  </mergeCells>
  <conditionalFormatting sqref="I12:I23">
    <cfRule type="expression" dxfId="2" priority="1">
      <formula>SUM(B12+I12)&gt;12</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72A55D8A-5520-428E-AF38-6B98BFAB97A0}">
          <x14:formula1>
            <xm:f>'Tuition &amp; Fees'!$C$24:$D$24</xm:f>
          </x14:formula1>
          <xm:sqref>H59:H60</xm:sqref>
        </x14:dataValidation>
        <x14:dataValidation type="list" allowBlank="1" showInputMessage="1" showErrorMessage="1" xr:uid="{4A8B4C2E-5456-4F68-B47F-AAA8B71F1663}">
          <x14:formula1>
            <xm:f>'Tuition &amp; Fees'!$B$4:$B$21</xm:f>
          </x14:formula1>
          <xm:sqref>J59:L59</xm:sqref>
        </x14:dataValidation>
        <x14:dataValidation type="list" allowBlank="1" showInputMessage="1" showErrorMessage="1" xr:uid="{CD251861-133F-4833-A51C-0B96B4688FF9}">
          <x14:formula1>
            <xm:f>'Tuition &amp; Fees'!$B$25:$B$42</xm:f>
          </x14:formula1>
          <xm:sqref>J60:L60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EBB70-4120-4A88-A15D-DC55D6D07448}">
  <sheetPr codeName="Sheet5"/>
  <dimension ref="B1:W180"/>
  <sheetViews>
    <sheetView showGridLines="0" zoomScaleNormal="100" workbookViewId="0">
      <selection activeCell="B111" sqref="B111:J111"/>
    </sheetView>
  </sheetViews>
  <sheetFormatPr defaultColWidth="0" defaultRowHeight="14.25" zeroHeight="1"/>
  <cols>
    <col min="1" max="1" width="2.140625" style="23" customWidth="1"/>
    <col min="2" max="2" width="17" style="394" customWidth="1"/>
    <col min="3" max="3" width="17" style="23" customWidth="1"/>
    <col min="4" max="4" width="28.140625" style="23" customWidth="1"/>
    <col min="5" max="5" width="52.7109375" style="23" customWidth="1"/>
    <col min="6" max="6" width="5.28515625" style="23" customWidth="1"/>
    <col min="7" max="7" width="6.5703125" style="23" customWidth="1"/>
    <col min="8" max="8" width="10.7109375" style="23" customWidth="1"/>
    <col min="9" max="9" width="10.42578125" style="23" customWidth="1"/>
    <col min="10" max="10" width="17.140625" style="23" customWidth="1"/>
    <col min="11" max="11" width="16" style="23" customWidth="1"/>
    <col min="12" max="12" width="15.5703125" style="23" customWidth="1"/>
    <col min="13" max="15" width="16.42578125" style="23" customWidth="1"/>
    <col min="16" max="16" width="15" style="23" customWidth="1"/>
    <col min="17" max="17" width="2.7109375" style="23" customWidth="1"/>
    <col min="18" max="21" width="15" style="395" customWidth="1"/>
    <col min="22" max="22" width="9.140625" style="23" customWidth="1"/>
    <col min="23" max="16384" width="0" style="23" hidden="1"/>
  </cols>
  <sheetData>
    <row r="1" spans="2:21" ht="7.5" customHeight="1" thickBot="1"/>
    <row r="2" spans="2:21" s="398" customFormat="1" ht="14.25" customHeight="1">
      <c r="B2" s="396" t="s">
        <v>237</v>
      </c>
      <c r="C2" s="397" t="e">
        <f>IF(ISBLANK('Budget Summary'!D5),"-",EDATE('Bdgt Yr 3'!C2,12))</f>
        <v>#VALUE!</v>
      </c>
      <c r="D2" s="944" t="s">
        <v>123</v>
      </c>
      <c r="E2" s="945"/>
      <c r="F2" s="1035" t="s">
        <v>124</v>
      </c>
      <c r="G2" s="1036"/>
      <c r="H2" s="1036"/>
      <c r="I2" s="1039" t="str">
        <f>T('Bdgt Yr 1'!I2)</f>
        <v/>
      </c>
      <c r="J2" s="1039"/>
      <c r="K2" s="945"/>
      <c r="L2" s="1041" t="s">
        <v>125</v>
      </c>
      <c r="M2" s="1026" t="str">
        <f>T('Bdgt Yr 1'!M2)</f>
        <v/>
      </c>
      <c r="N2" s="1026"/>
      <c r="O2" s="1026"/>
      <c r="P2" s="1027"/>
      <c r="R2" s="404"/>
      <c r="S2" s="404"/>
      <c r="T2" s="404"/>
      <c r="U2" s="404"/>
    </row>
    <row r="3" spans="2:21" s="398" customFormat="1" ht="14.25" customHeight="1">
      <c r="B3" s="399" t="s">
        <v>238</v>
      </c>
      <c r="C3" s="400" t="e">
        <f>IF(ISBLANK('Budget Summary'!D5),"-",EDATE('Bdgt Yr 3'!C3,12))</f>
        <v>#VALUE!</v>
      </c>
      <c r="D3" s="946"/>
      <c r="E3" s="947"/>
      <c r="F3" s="1037"/>
      <c r="G3" s="1038"/>
      <c r="H3" s="1038"/>
      <c r="I3" s="1040"/>
      <c r="J3" s="1040"/>
      <c r="K3" s="947"/>
      <c r="L3" s="1042"/>
      <c r="M3" s="1028"/>
      <c r="N3" s="1028"/>
      <c r="O3" s="1028"/>
      <c r="P3" s="1029"/>
      <c r="R3" s="404"/>
      <c r="S3" s="404"/>
      <c r="T3" s="404"/>
      <c r="U3" s="404"/>
    </row>
    <row r="4" spans="2:21" ht="14.25" customHeight="1" thickBot="1">
      <c r="B4" s="401" t="s">
        <v>127</v>
      </c>
      <c r="C4" s="1117" t="str">
        <f>T('Bdgt Yr 1'!C4)</f>
        <v/>
      </c>
      <c r="D4" s="1118"/>
      <c r="E4" s="1118"/>
      <c r="F4" s="1118"/>
      <c r="G4" s="1118"/>
      <c r="H4" s="1118"/>
      <c r="I4" s="1119"/>
      <c r="J4" s="402" t="s">
        <v>128</v>
      </c>
      <c r="K4" s="403">
        <f>'Bdgt Yr 3'!K4+1</f>
        <v>2029</v>
      </c>
      <c r="L4" s="1032" t="s">
        <v>129</v>
      </c>
      <c r="M4" s="1033"/>
      <c r="N4" s="1033"/>
      <c r="O4" s="1033"/>
      <c r="P4" s="1034"/>
    </row>
    <row r="5" spans="2:21">
      <c r="B5" s="405"/>
      <c r="C5" s="490"/>
      <c r="D5" s="490"/>
      <c r="E5" s="490"/>
      <c r="F5" s="490"/>
      <c r="G5" s="490"/>
      <c r="H5" s="490"/>
      <c r="I5" s="490"/>
      <c r="J5" s="407"/>
      <c r="K5" s="408"/>
      <c r="L5" s="409"/>
      <c r="M5" s="409"/>
      <c r="N5" s="409"/>
      <c r="O5" s="409"/>
      <c r="P5" s="409"/>
    </row>
    <row r="6" spans="2:21" s="398" customFormat="1" ht="15.75" customHeight="1" thickBot="1">
      <c r="B6" s="985" t="s">
        <v>130</v>
      </c>
      <c r="C6" s="985"/>
      <c r="D6" s="985"/>
      <c r="E6" s="985"/>
      <c r="F6" s="985"/>
      <c r="G6" s="985"/>
      <c r="H6" s="985"/>
      <c r="I6" s="985"/>
      <c r="J6" s="985"/>
      <c r="K6" s="985"/>
      <c r="L6" s="985"/>
      <c r="M6" s="985"/>
      <c r="N6" s="985"/>
      <c r="O6" s="985"/>
      <c r="P6" s="985"/>
      <c r="Q6" s="23"/>
      <c r="R6" s="974"/>
      <c r="S6" s="974"/>
      <c r="T6" s="974"/>
      <c r="U6" s="974"/>
    </row>
    <row r="7" spans="2:21" ht="7.5" customHeight="1">
      <c r="B7" s="960"/>
      <c r="C7" s="960"/>
      <c r="D7" s="960"/>
      <c r="E7" s="960"/>
      <c r="F7" s="960"/>
      <c r="G7" s="960"/>
      <c r="H7" s="960"/>
      <c r="I7" s="960"/>
      <c r="J7" s="960"/>
      <c r="K7" s="960"/>
      <c r="L7" s="960"/>
      <c r="M7" s="960"/>
    </row>
    <row r="8" spans="2:21" s="398" customFormat="1" ht="15.75" customHeight="1" thickBot="1">
      <c r="B8" s="985" t="s">
        <v>131</v>
      </c>
      <c r="C8" s="985"/>
      <c r="D8" s="985"/>
      <c r="E8" s="985"/>
      <c r="F8" s="985"/>
      <c r="G8" s="985"/>
      <c r="H8" s="985"/>
      <c r="I8" s="985"/>
      <c r="J8" s="985"/>
      <c r="K8" s="985"/>
      <c r="L8" s="985"/>
      <c r="M8" s="985"/>
      <c r="N8" s="985"/>
      <c r="O8" s="985"/>
      <c r="P8" s="985"/>
      <c r="Q8" s="23"/>
      <c r="R8" s="984" t="s">
        <v>132</v>
      </c>
      <c r="S8" s="984"/>
      <c r="T8" s="984"/>
      <c r="U8" s="984"/>
    </row>
    <row r="9" spans="2:21" ht="7.5" customHeight="1" thickBot="1">
      <c r="B9" s="960"/>
      <c r="C9" s="960"/>
      <c r="D9" s="960"/>
      <c r="E9" s="960"/>
      <c r="F9" s="960"/>
      <c r="G9" s="960"/>
      <c r="H9" s="960"/>
      <c r="I9" s="960"/>
      <c r="J9" s="960"/>
      <c r="K9" s="960"/>
      <c r="L9" s="960"/>
      <c r="M9" s="960"/>
    </row>
    <row r="10" spans="2:21" ht="39.75" customHeight="1">
      <c r="B10" s="988" t="s">
        <v>239</v>
      </c>
      <c r="C10" s="989"/>
      <c r="D10" s="989"/>
      <c r="E10" s="989"/>
      <c r="F10" s="989"/>
      <c r="G10" s="989"/>
      <c r="H10" s="989"/>
      <c r="I10" s="989"/>
      <c r="J10" s="989"/>
      <c r="K10" s="989"/>
      <c r="L10" s="989"/>
      <c r="M10" s="989"/>
      <c r="N10" s="1043" t="s">
        <v>134</v>
      </c>
      <c r="O10" s="1044"/>
      <c r="P10" s="1045"/>
      <c r="Q10" s="410"/>
      <c r="R10" s="975" t="s">
        <v>135</v>
      </c>
      <c r="S10" s="976"/>
      <c r="T10" s="976"/>
      <c r="U10" s="977"/>
    </row>
    <row r="11" spans="2:21" ht="28.5">
      <c r="B11" s="526" t="s">
        <v>136</v>
      </c>
      <c r="C11" s="527" t="s">
        <v>228</v>
      </c>
      <c r="D11" s="527" t="s">
        <v>138</v>
      </c>
      <c r="E11" s="491" t="s">
        <v>159</v>
      </c>
      <c r="F11" s="1046" t="s">
        <v>140</v>
      </c>
      <c r="G11" s="1047"/>
      <c r="H11" s="361" t="s">
        <v>141</v>
      </c>
      <c r="I11" s="412" t="s">
        <v>142</v>
      </c>
      <c r="J11" s="412" t="s">
        <v>143</v>
      </c>
      <c r="K11" s="412" t="s">
        <v>144</v>
      </c>
      <c r="L11" s="412" t="s">
        <v>145</v>
      </c>
      <c r="M11" s="413" t="s">
        <v>146</v>
      </c>
      <c r="N11" s="263" t="s">
        <v>147</v>
      </c>
      <c r="O11" s="239" t="s">
        <v>148</v>
      </c>
      <c r="P11" s="271" t="s">
        <v>149</v>
      </c>
      <c r="R11" s="414" t="s">
        <v>150</v>
      </c>
      <c r="S11" s="415" t="s">
        <v>151</v>
      </c>
      <c r="T11" s="415" t="s">
        <v>152</v>
      </c>
      <c r="U11" s="416" t="s">
        <v>153</v>
      </c>
    </row>
    <row r="12" spans="2:21">
      <c r="B12" s="492" t="str">
        <f>IF(ISBLANK('Bdgt Yr 1'!B12),"",'Bdgt Yr 1'!B12)</f>
        <v/>
      </c>
      <c r="C12" s="417" t="str">
        <f>IF(ISBLANK('Bdgt Yr 1'!C12),"",'Bdgt Yr 1'!C12)</f>
        <v/>
      </c>
      <c r="D12" s="693" t="str">
        <f>IF(ISBLANK('Bdgt Yr 1'!D12),"",'Bdgt Yr 1'!D12)</f>
        <v/>
      </c>
      <c r="E12" s="493" t="str">
        <f>T('Bdgt Yr 1'!E12)</f>
        <v/>
      </c>
      <c r="F12" s="1115">
        <v>0</v>
      </c>
      <c r="G12" s="1116"/>
      <c r="H12" s="362">
        <f>IF(ISBLANK('Bdgt Yr 1'!B12),0,(F12/'Bdgt Yr 1'!B12))</f>
        <v>0</v>
      </c>
      <c r="I12" s="419">
        <v>0</v>
      </c>
      <c r="J12" s="25">
        <f>'Bdgt Yr 3'!J12*(1+'Budget Summary'!$G$35)</f>
        <v>0</v>
      </c>
      <c r="K12" s="507">
        <f>IF(ISBLANK('Bdgt Yr 1'!B12),0,ROUNDUP((J12*H12)+(J12/'Bdgt Yr 1'!B12)*I12,0))</f>
        <v>0</v>
      </c>
      <c r="L12" s="28" cm="1">
        <f t="array" ref="L12">ROUNDUP(_xlfn.IFS(ISBLANK('Bdgt Yr 1'!B12),0,OR(C12="ORP",K12=0),(J12*H12*Constants!$N$14)+(Constants!$N$15*H12)+(J12/'Bdgt Yr 1'!B12*I12*Constants!$N$14),OR(C12="TSERS",K12=0),(J12*H12*Constants!$N$7)+(Constants!$N$8*H12)+(J12/'Bdgt Yr 1'!B12*I12*Constants!$N$7),OR(C12="Law Enforcement",K12=0),(J12*H12*Constants!$N$28)+(Constants!$N$29*H12)+(J12/'Bdgt Yr 1'!B12*I12*Constants!$N$28)),0)</f>
        <v>0</v>
      </c>
      <c r="M12" s="56">
        <f>(+K12+L12)</f>
        <v>0</v>
      </c>
      <c r="N12" s="240">
        <f>'Cost-Share'!AK6</f>
        <v>0</v>
      </c>
      <c r="O12" s="238">
        <f>'Cost-Share'!AL6</f>
        <v>0</v>
      </c>
      <c r="P12" s="270">
        <f>'Cost-Share'!AM6</f>
        <v>0</v>
      </c>
      <c r="R12" s="420">
        <f>K12+N12</f>
        <v>0</v>
      </c>
      <c r="S12" s="421">
        <f>L12+O12</f>
        <v>0</v>
      </c>
      <c r="T12" s="421">
        <f>M12+P12</f>
        <v>0</v>
      </c>
      <c r="U12" s="422" t="str">
        <f t="shared" ref="U12:U17" si="0">IFERROR((P12/T12),"-")</f>
        <v>-</v>
      </c>
    </row>
    <row r="13" spans="2:21">
      <c r="B13" s="492" t="str">
        <f>IF(ISBLANK('Bdgt Yr 1'!B13),"",'Bdgt Yr 1'!B13)</f>
        <v/>
      </c>
      <c r="C13" s="417" t="str">
        <f>IF(ISBLANK('Bdgt Yr 1'!C13),"",'Bdgt Yr 1'!C13)</f>
        <v/>
      </c>
      <c r="D13" s="693" t="str">
        <f>IF(ISBLANK('Bdgt Yr 1'!D13),"",'Bdgt Yr 1'!D13)</f>
        <v/>
      </c>
      <c r="E13" s="493" t="str">
        <f>T('Bdgt Yr 1'!E13)</f>
        <v/>
      </c>
      <c r="F13" s="986">
        <v>0</v>
      </c>
      <c r="G13" s="987"/>
      <c r="H13" s="362">
        <f>IF(ISBLANK('Bdgt Yr 1'!B13),0,(F13/'Bdgt Yr 1'!B13))</f>
        <v>0</v>
      </c>
      <c r="I13" s="26">
        <v>0</v>
      </c>
      <c r="J13" s="25">
        <f>'Bdgt Yr 3'!J13*(1+'Budget Summary'!$G$35)</f>
        <v>0</v>
      </c>
      <c r="K13" s="507">
        <f>IF(ISBLANK('Bdgt Yr 1'!B13),0,ROUNDUP((J13*H13)+(J13/'Bdgt Yr 1'!B13)*I13,0))</f>
        <v>0</v>
      </c>
      <c r="L13" s="28" cm="1">
        <f t="array" ref="L13">ROUNDUP(_xlfn.IFS(ISBLANK('Bdgt Yr 1'!B13),0,OR(C13="ORP",K13=0),(J13*H13*Constants!$N$14)+(Constants!$N$15*H13)+(J13/'Bdgt Yr 1'!B13*I13*Constants!$N$14),OR(C13="TSERS",K13=0),(J13*H13*Constants!$N$7)+(Constants!$N$8*H13)+(J13/'Bdgt Yr 1'!B13*I13*Constants!$N$7),OR(C13="Law Enforcement",K13=0),(J13*H13*Constants!$N$28)+(Constants!$N$29*H13)+(J13/'Bdgt Yr 1'!B13*I13*Constants!$N$28)),0)</f>
        <v>0</v>
      </c>
      <c r="M13" s="57">
        <f t="shared" ref="M13:M23" si="1">(+K13+L13)</f>
        <v>0</v>
      </c>
      <c r="N13" s="240">
        <f>'Cost-Share'!AK7</f>
        <v>0</v>
      </c>
      <c r="O13" s="238">
        <f>'Cost-Share'!AL7</f>
        <v>0</v>
      </c>
      <c r="P13" s="270">
        <f>'Cost-Share'!AM7</f>
        <v>0</v>
      </c>
      <c r="R13" s="420">
        <f t="shared" ref="R13:R23" si="2">K13+N13</f>
        <v>0</v>
      </c>
      <c r="S13" s="421">
        <f t="shared" ref="S13:S23" si="3">L13+O13</f>
        <v>0</v>
      </c>
      <c r="T13" s="421">
        <f t="shared" ref="T13:T23" si="4">M13+P13</f>
        <v>0</v>
      </c>
      <c r="U13" s="422" t="str">
        <f t="shared" si="0"/>
        <v>-</v>
      </c>
    </row>
    <row r="14" spans="2:21">
      <c r="B14" s="492" t="str">
        <f>IF(ISBLANK('Bdgt Yr 1'!B14),"",'Bdgt Yr 1'!B14)</f>
        <v/>
      </c>
      <c r="C14" s="417" t="str">
        <f>IF(ISBLANK('Bdgt Yr 1'!C14),"",'Bdgt Yr 1'!C14)</f>
        <v/>
      </c>
      <c r="D14" s="693" t="str">
        <f>IF(ISBLANK('Bdgt Yr 1'!D14),"",'Bdgt Yr 1'!D14)</f>
        <v/>
      </c>
      <c r="E14" s="493" t="str">
        <f>T('Bdgt Yr 1'!E14)</f>
        <v/>
      </c>
      <c r="F14" s="986">
        <v>0</v>
      </c>
      <c r="G14" s="987"/>
      <c r="H14" s="362">
        <f>IF(ISBLANK('Bdgt Yr 1'!B14),0,(F14/'Bdgt Yr 1'!B14))</f>
        <v>0</v>
      </c>
      <c r="I14" s="419">
        <v>0</v>
      </c>
      <c r="J14" s="25">
        <f>'Bdgt Yr 3'!J14*(1+'Budget Summary'!$G$35)</f>
        <v>0</v>
      </c>
      <c r="K14" s="507">
        <f>IF(ISBLANK('Bdgt Yr 1'!B14),0,ROUNDUP((J14*H14)+(J14/'Bdgt Yr 1'!B14)*I14,0))</f>
        <v>0</v>
      </c>
      <c r="L14" s="28" cm="1">
        <f t="array" ref="L14">ROUNDUP(_xlfn.IFS(ISBLANK('Bdgt Yr 1'!B14),0,OR(C14="ORP",K14=0),(J14*H14*Constants!$N$14)+(Constants!$N$15*H14)+(J14/'Bdgt Yr 1'!B14*I14*Constants!$N$14),OR(C14="TSERS",K14=0),(J14*H14*Constants!$N$7)+(Constants!$N$8*H14)+(J14/'Bdgt Yr 1'!B14*I14*Constants!$N$7),OR(C14="Law Enforcement",K14=0),(J14*H14*Constants!$N$28)+(Constants!$N$29*H14)+(J14/'Bdgt Yr 1'!B14*I14*Constants!$N$28)),0)</f>
        <v>0</v>
      </c>
      <c r="M14" s="57">
        <f t="shared" si="1"/>
        <v>0</v>
      </c>
      <c r="N14" s="240">
        <f>'Cost-Share'!AK8</f>
        <v>0</v>
      </c>
      <c r="O14" s="238">
        <f>'Cost-Share'!AL8</f>
        <v>0</v>
      </c>
      <c r="P14" s="270">
        <f>'Cost-Share'!AM8</f>
        <v>0</v>
      </c>
      <c r="R14" s="420">
        <f t="shared" si="2"/>
        <v>0</v>
      </c>
      <c r="S14" s="421">
        <f t="shared" si="3"/>
        <v>0</v>
      </c>
      <c r="T14" s="421">
        <f t="shared" si="4"/>
        <v>0</v>
      </c>
      <c r="U14" s="422" t="str">
        <f t="shared" si="0"/>
        <v>-</v>
      </c>
    </row>
    <row r="15" spans="2:21">
      <c r="B15" s="492" t="str">
        <f>IF(ISBLANK('Bdgt Yr 1'!B15),"",'Bdgt Yr 1'!B15)</f>
        <v/>
      </c>
      <c r="C15" s="417" t="str">
        <f>IF(ISBLANK('Bdgt Yr 1'!C15),"",'Bdgt Yr 1'!C15)</f>
        <v/>
      </c>
      <c r="D15" s="693" t="str">
        <f>IF(ISBLANK('Bdgt Yr 1'!D15),"",'Bdgt Yr 1'!D15)</f>
        <v/>
      </c>
      <c r="E15" s="493" t="str">
        <f>T('Bdgt Yr 1'!E15)</f>
        <v/>
      </c>
      <c r="F15" s="986">
        <v>0</v>
      </c>
      <c r="G15" s="987"/>
      <c r="H15" s="362">
        <f>IF(ISBLANK('Bdgt Yr 1'!B15),0,(F15/'Bdgt Yr 1'!B15))</f>
        <v>0</v>
      </c>
      <c r="I15" s="26">
        <v>0</v>
      </c>
      <c r="J15" s="25">
        <f>'Bdgt Yr 3'!J15*(1+'Budget Summary'!$G$35)</f>
        <v>0</v>
      </c>
      <c r="K15" s="507">
        <f>IF(ISBLANK('Bdgt Yr 1'!B15),0,ROUNDUP((J15*H15)+(J15/'Bdgt Yr 1'!B15)*I15,0))</f>
        <v>0</v>
      </c>
      <c r="L15" s="28" cm="1">
        <f t="array" ref="L15">ROUNDUP(_xlfn.IFS(ISBLANK('Bdgt Yr 1'!B15),0,OR(C15="ORP",K15=0),(J15*H15*Constants!$N$14)+(Constants!$N$15*H15)+(J15/'Bdgt Yr 1'!B15*I15*Constants!$N$14),OR(C15="TSERS",K15=0),(J15*H15*Constants!$N$7)+(Constants!$N$8*H15)+(J15/'Bdgt Yr 1'!B15*I15*Constants!$N$7),OR(C15="Law Enforcement",K15=0),(J15*H15*Constants!$N$28)+(Constants!$N$29*H15)+(J15/'Bdgt Yr 1'!B15*I15*Constants!$N$28)),0)</f>
        <v>0</v>
      </c>
      <c r="M15" s="57">
        <f t="shared" si="1"/>
        <v>0</v>
      </c>
      <c r="N15" s="240">
        <f>'Cost-Share'!AK9</f>
        <v>0</v>
      </c>
      <c r="O15" s="238">
        <f>'Cost-Share'!AL9</f>
        <v>0</v>
      </c>
      <c r="P15" s="270">
        <f>'Cost-Share'!AM9</f>
        <v>0</v>
      </c>
      <c r="R15" s="420">
        <f t="shared" si="2"/>
        <v>0</v>
      </c>
      <c r="S15" s="421">
        <f t="shared" si="3"/>
        <v>0</v>
      </c>
      <c r="T15" s="421">
        <f t="shared" si="4"/>
        <v>0</v>
      </c>
      <c r="U15" s="422" t="str">
        <f t="shared" si="0"/>
        <v>-</v>
      </c>
    </row>
    <row r="16" spans="2:21">
      <c r="B16" s="492" t="str">
        <f>IF(ISBLANK('Bdgt Yr 1'!B16),"",'Bdgt Yr 1'!B16)</f>
        <v/>
      </c>
      <c r="C16" s="417" t="str">
        <f>IF(ISBLANK('Bdgt Yr 1'!C16),"",'Bdgt Yr 1'!C16)</f>
        <v/>
      </c>
      <c r="D16" s="693" t="str">
        <f>IF(ISBLANK('Bdgt Yr 1'!D16),"",'Bdgt Yr 1'!D16)</f>
        <v/>
      </c>
      <c r="E16" s="493" t="str">
        <f>T('Bdgt Yr 1'!E16)</f>
        <v/>
      </c>
      <c r="F16" s="986">
        <v>0</v>
      </c>
      <c r="G16" s="987"/>
      <c r="H16" s="362">
        <f>IF(ISBLANK('Bdgt Yr 1'!B16),0,(F16/'Bdgt Yr 1'!B16))</f>
        <v>0</v>
      </c>
      <c r="I16" s="425">
        <v>0</v>
      </c>
      <c r="J16" s="25">
        <f>'Bdgt Yr 3'!J16*(1+'Budget Summary'!$G$35)</f>
        <v>0</v>
      </c>
      <c r="K16" s="507">
        <f>IF(ISBLANK('Bdgt Yr 1'!B16),0,ROUNDUP((J16*H16)+(J16/'Bdgt Yr 1'!B16)*I16,0))</f>
        <v>0</v>
      </c>
      <c r="L16" s="28" cm="1">
        <f t="array" ref="L16">ROUNDUP(_xlfn.IFS(ISBLANK('Bdgt Yr 1'!B16),0,OR(C16="ORP",K16=0),(J16*H16*Constants!$N$14)+(Constants!$N$15*H16)+(J16/'Bdgt Yr 1'!B16*I16*Constants!$N$14),OR(C16="TSERS",K16=0),(J16*H16*Constants!$N$7)+(Constants!$N$8*H16)+(J16/'Bdgt Yr 1'!B16*I16*Constants!$N$7),OR(C16="Law Enforcement",K16=0),(J16*H16*Constants!$N$28)+(Constants!$N$29*H16)+(J16/'Bdgt Yr 1'!B16*I16*Constants!$N$28)),0)</f>
        <v>0</v>
      </c>
      <c r="M16" s="57">
        <f t="shared" si="1"/>
        <v>0</v>
      </c>
      <c r="N16" s="240">
        <f>'Cost-Share'!AK10</f>
        <v>0</v>
      </c>
      <c r="O16" s="238">
        <f>'Cost-Share'!AL10</f>
        <v>0</v>
      </c>
      <c r="P16" s="270">
        <f>'Cost-Share'!AM10</f>
        <v>0</v>
      </c>
      <c r="R16" s="420">
        <f t="shared" si="2"/>
        <v>0</v>
      </c>
      <c r="S16" s="421">
        <f t="shared" si="3"/>
        <v>0</v>
      </c>
      <c r="T16" s="421">
        <f t="shared" si="4"/>
        <v>0</v>
      </c>
      <c r="U16" s="422" t="str">
        <f t="shared" si="0"/>
        <v>-</v>
      </c>
    </row>
    <row r="17" spans="2:21">
      <c r="B17" s="492" t="str">
        <f>IF(ISBLANK('Bdgt Yr 1'!B17),"",'Bdgt Yr 1'!B17)</f>
        <v/>
      </c>
      <c r="C17" s="417" t="str">
        <f>IF(ISBLANK('Bdgt Yr 1'!C17),"",'Bdgt Yr 1'!C17)</f>
        <v/>
      </c>
      <c r="D17" s="693" t="str">
        <f>IF(ISBLANK('Bdgt Yr 1'!D17),"",'Bdgt Yr 1'!D17)</f>
        <v/>
      </c>
      <c r="E17" s="493" t="str">
        <f>T('Bdgt Yr 1'!E17)</f>
        <v/>
      </c>
      <c r="F17" s="986">
        <v>0</v>
      </c>
      <c r="G17" s="987"/>
      <c r="H17" s="362">
        <f>IF(ISBLANK('Bdgt Yr 1'!B17),0,(F17/'Bdgt Yr 1'!B17))</f>
        <v>0</v>
      </c>
      <c r="I17" s="425">
        <v>0</v>
      </c>
      <c r="J17" s="25">
        <f>'Bdgt Yr 3'!J17*(1+'Budget Summary'!$G$35)</f>
        <v>0</v>
      </c>
      <c r="K17" s="507">
        <f>IF(ISBLANK('Bdgt Yr 1'!B17),0,ROUNDUP((J17*H17)+(J17/'Bdgt Yr 1'!B17)*I17,0))</f>
        <v>0</v>
      </c>
      <c r="L17" s="28" cm="1">
        <f t="array" ref="L17">ROUNDUP(_xlfn.IFS(ISBLANK('Bdgt Yr 1'!B17),0,OR(C17="ORP",K17=0),(J17*H17*Constants!$N$14)+(Constants!$N$15*H17)+(J17/'Bdgt Yr 1'!B17*I17*Constants!$N$14),OR(C17="TSERS",K17=0),(J17*H17*Constants!$N$7)+(Constants!$N$8*H17)+(J17/'Bdgt Yr 1'!B17*I17*Constants!$N$7),OR(C17="Law Enforcement",K17=0),(J17*H17*Constants!$N$28)+(Constants!$N$29*H17)+(J17/'Bdgt Yr 1'!B17*I17*Constants!$N$28)),0)</f>
        <v>0</v>
      </c>
      <c r="M17" s="57">
        <f t="shared" si="1"/>
        <v>0</v>
      </c>
      <c r="N17" s="240">
        <f>'Cost-Share'!AK11</f>
        <v>0</v>
      </c>
      <c r="O17" s="238">
        <f>'Cost-Share'!AL11</f>
        <v>0</v>
      </c>
      <c r="P17" s="270">
        <f>'Cost-Share'!AM11</f>
        <v>0</v>
      </c>
      <c r="R17" s="420">
        <f t="shared" si="2"/>
        <v>0</v>
      </c>
      <c r="S17" s="421">
        <f t="shared" si="3"/>
        <v>0</v>
      </c>
      <c r="T17" s="421">
        <f t="shared" si="4"/>
        <v>0</v>
      </c>
      <c r="U17" s="422" t="str">
        <f t="shared" si="0"/>
        <v>-</v>
      </c>
    </row>
    <row r="18" spans="2:21">
      <c r="B18" s="492" t="str">
        <f>IF(ISBLANK('Bdgt Yr 1'!B18),"",'Bdgt Yr 1'!B18)</f>
        <v/>
      </c>
      <c r="C18" s="417" t="str">
        <f>IF(ISBLANK('Bdgt Yr 1'!C18),"",'Bdgt Yr 1'!C18)</f>
        <v/>
      </c>
      <c r="D18" s="693" t="str">
        <f>IF(ISBLANK('Bdgt Yr 1'!D18),"",'Bdgt Yr 1'!D18)</f>
        <v/>
      </c>
      <c r="E18" s="493" t="str">
        <f>T('Bdgt Yr 1'!E18)</f>
        <v/>
      </c>
      <c r="F18" s="986">
        <v>0</v>
      </c>
      <c r="G18" s="987"/>
      <c r="H18" s="362">
        <f>IF(ISBLANK('Bdgt Yr 1'!B18),0,(F18/'Bdgt Yr 1'!B18))</f>
        <v>0</v>
      </c>
      <c r="I18" s="425">
        <v>0</v>
      </c>
      <c r="J18" s="25">
        <f>'Bdgt Yr 3'!J18*(1+'Budget Summary'!$G$35)</f>
        <v>0</v>
      </c>
      <c r="K18" s="507">
        <f>IF(ISBLANK('Bdgt Yr 1'!B18),0,ROUNDUP((J18*H18)+(J18/'Bdgt Yr 1'!B18)*I18,0))</f>
        <v>0</v>
      </c>
      <c r="L18" s="28" cm="1">
        <f t="array" ref="L18">ROUNDUP(_xlfn.IFS(ISBLANK('Bdgt Yr 1'!B18),0,OR(C18="ORP",K18=0),(J18*H18*Constants!$N$14)+(Constants!$N$15*H18)+(J18/'Bdgt Yr 1'!B18*I18*Constants!$N$14),OR(C18="TSERS",K18=0),(J18*H18*Constants!$N$7)+(Constants!$N$8*H18)+(J18/'Bdgt Yr 1'!B18*I18*Constants!$N$7),OR(C18="Law Enforcement",K18=0),(J18*H18*Constants!$N$28)+(Constants!$N$29*H18)+(J18/'Bdgt Yr 1'!B18*I18*Constants!$N$28)),0)</f>
        <v>0</v>
      </c>
      <c r="M18" s="57">
        <f t="shared" si="1"/>
        <v>0</v>
      </c>
      <c r="N18" s="240">
        <f>'Cost-Share'!AK12</f>
        <v>0</v>
      </c>
      <c r="O18" s="238">
        <f>'Cost-Share'!AL12</f>
        <v>0</v>
      </c>
      <c r="P18" s="270">
        <f>'Cost-Share'!AM12</f>
        <v>0</v>
      </c>
      <c r="Q18" s="503"/>
      <c r="R18" s="420">
        <f t="shared" si="2"/>
        <v>0</v>
      </c>
      <c r="S18" s="421">
        <f t="shared" si="3"/>
        <v>0</v>
      </c>
      <c r="T18" s="421">
        <f t="shared" si="4"/>
        <v>0</v>
      </c>
      <c r="U18" s="422" t="str">
        <f t="shared" ref="U18:U22" si="5">IFERROR((P20/T18),"-")</f>
        <v>-</v>
      </c>
    </row>
    <row r="19" spans="2:21">
      <c r="B19" s="492" t="str">
        <f>IF(ISBLANK('Bdgt Yr 1'!B19),"",'Bdgt Yr 1'!B19)</f>
        <v/>
      </c>
      <c r="C19" s="417" t="str">
        <f>IF(ISBLANK('Bdgt Yr 1'!C19),"",'Bdgt Yr 1'!C19)</f>
        <v/>
      </c>
      <c r="D19" s="693" t="str">
        <f>IF(ISBLANK('Bdgt Yr 1'!D19),"",'Bdgt Yr 1'!D19)</f>
        <v/>
      </c>
      <c r="E19" s="493" t="str">
        <f>T('Bdgt Yr 1'!E19)</f>
        <v/>
      </c>
      <c r="F19" s="986">
        <v>0</v>
      </c>
      <c r="G19" s="987"/>
      <c r="H19" s="362">
        <f>IF(ISBLANK('Bdgt Yr 1'!B19),0,(F19/'Bdgt Yr 1'!B19))</f>
        <v>0</v>
      </c>
      <c r="I19" s="26">
        <v>0</v>
      </c>
      <c r="J19" s="25">
        <f>'Bdgt Yr 3'!J19*(1+'Budget Summary'!$G$35)</f>
        <v>0</v>
      </c>
      <c r="K19" s="507">
        <f>IF(ISBLANK('Bdgt Yr 1'!B19),0,ROUNDUP((J19*H19)+(J19/'Bdgt Yr 1'!B19)*I19,0))</f>
        <v>0</v>
      </c>
      <c r="L19" s="28" cm="1">
        <f t="array" ref="L19">ROUNDUP(_xlfn.IFS(ISBLANK('Bdgt Yr 1'!B19),0,OR(C19="ORP",K19=0),(J19*H19*Constants!$N$14)+(Constants!$N$15*H19)+(J19/'Bdgt Yr 1'!B19*I19*Constants!$N$14),OR(C19="TSERS",K19=0),(J19*H19*Constants!$N$7)+(Constants!$N$8*H19)+(J19/'Bdgt Yr 1'!B19*I19*Constants!$N$7),OR(C19="Law Enforcement",K19=0),(J19*H19*Constants!$N$28)+(Constants!$N$29*H19)+(J19/'Bdgt Yr 1'!B19*I19*Constants!$N$28)),0)</f>
        <v>0</v>
      </c>
      <c r="M19" s="57">
        <f t="shared" si="1"/>
        <v>0</v>
      </c>
      <c r="N19" s="240">
        <f>'Cost-Share'!AK13</f>
        <v>0</v>
      </c>
      <c r="O19" s="238">
        <f>'Cost-Share'!AL13</f>
        <v>0</v>
      </c>
      <c r="P19" s="270">
        <f>'Cost-Share'!AM13</f>
        <v>0</v>
      </c>
      <c r="R19" s="420">
        <f t="shared" si="2"/>
        <v>0</v>
      </c>
      <c r="S19" s="421">
        <f t="shared" si="3"/>
        <v>0</v>
      </c>
      <c r="T19" s="421">
        <f t="shared" si="4"/>
        <v>0</v>
      </c>
      <c r="U19" s="422" t="str">
        <f t="shared" si="5"/>
        <v>-</v>
      </c>
    </row>
    <row r="20" spans="2:21">
      <c r="B20" s="492" t="str">
        <f>IF(ISBLANK('Bdgt Yr 1'!B20),"",'Bdgt Yr 1'!B20)</f>
        <v/>
      </c>
      <c r="C20" s="417" t="str">
        <f>IF(ISBLANK('Bdgt Yr 1'!C20),"",'Bdgt Yr 1'!C20)</f>
        <v/>
      </c>
      <c r="D20" s="693" t="str">
        <f>IF(ISBLANK('Bdgt Yr 1'!D20),"",'Bdgt Yr 1'!D20)</f>
        <v/>
      </c>
      <c r="E20" s="493" t="str">
        <f>T('Bdgt Yr 1'!E20)</f>
        <v/>
      </c>
      <c r="F20" s="986">
        <v>0</v>
      </c>
      <c r="G20" s="987"/>
      <c r="H20" s="362">
        <f>IF(ISBLANK('Bdgt Yr 1'!B20),0,(F20/'Bdgt Yr 1'!B20))</f>
        <v>0</v>
      </c>
      <c r="I20" s="427">
        <v>0</v>
      </c>
      <c r="J20" s="25">
        <f>'Bdgt Yr 3'!J20*(1+'Budget Summary'!$G$35)</f>
        <v>0</v>
      </c>
      <c r="K20" s="507">
        <f>IF(ISBLANK('Bdgt Yr 1'!B20),0,ROUNDUP((J20*H20)+(J20/'Bdgt Yr 1'!B20)*I20,0))</f>
        <v>0</v>
      </c>
      <c r="L20" s="28" cm="1">
        <f t="array" ref="L20">ROUNDUP(_xlfn.IFS(ISBLANK('Bdgt Yr 1'!B20),0,OR(C20="ORP",K20=0),(J20*H20*Constants!$N$14)+(Constants!$N$15*H20)+(J20/'Bdgt Yr 1'!B20*I20*Constants!$N$14),OR(C20="TSERS",K20=0),(J20*H20*Constants!$N$7)+(Constants!$N$8*H20)+(J20/'Bdgt Yr 1'!B20*I20*Constants!$N$7),OR(C20="Law Enforcement",K20=0),(J20*H20*Constants!$N$28)+(Constants!$N$29*H20)+(J20/'Bdgt Yr 1'!B20*I20*Constants!$N$28)),0)</f>
        <v>0</v>
      </c>
      <c r="M20" s="57">
        <f t="shared" si="1"/>
        <v>0</v>
      </c>
      <c r="N20" s="240">
        <f>'Cost-Share'!AK14</f>
        <v>0</v>
      </c>
      <c r="O20" s="238">
        <f>'Cost-Share'!AL14</f>
        <v>0</v>
      </c>
      <c r="P20" s="270">
        <f>'Cost-Share'!AM14</f>
        <v>0</v>
      </c>
      <c r="R20" s="420">
        <f t="shared" si="2"/>
        <v>0</v>
      </c>
      <c r="S20" s="421">
        <f t="shared" si="3"/>
        <v>0</v>
      </c>
      <c r="T20" s="421">
        <f t="shared" si="4"/>
        <v>0</v>
      </c>
      <c r="U20" s="422" t="str">
        <f t="shared" si="5"/>
        <v>-</v>
      </c>
    </row>
    <row r="21" spans="2:21">
      <c r="B21" s="492" t="str">
        <f>IF(ISBLANK('Bdgt Yr 1'!B21),"",'Bdgt Yr 1'!B21)</f>
        <v/>
      </c>
      <c r="C21" s="417" t="str">
        <f>IF(ISBLANK('Bdgt Yr 1'!C21),"",'Bdgt Yr 1'!C21)</f>
        <v/>
      </c>
      <c r="D21" s="693" t="str">
        <f>IF(ISBLANK('Bdgt Yr 1'!D21),"",'Bdgt Yr 1'!D21)</f>
        <v/>
      </c>
      <c r="E21" s="493" t="str">
        <f>T('Bdgt Yr 1'!E21)</f>
        <v/>
      </c>
      <c r="F21" s="992">
        <v>0</v>
      </c>
      <c r="G21" s="993"/>
      <c r="H21" s="362">
        <f>IF(ISBLANK('Bdgt Yr 1'!B21),0,(F21/'Bdgt Yr 1'!B21))</f>
        <v>0</v>
      </c>
      <c r="I21" s="428">
        <v>0</v>
      </c>
      <c r="J21" s="25">
        <f>'Bdgt Yr 3'!J21*(1+'Budget Summary'!$G$35)</f>
        <v>0</v>
      </c>
      <c r="K21" s="507">
        <f>IF(ISBLANK('Bdgt Yr 1'!B21),0,ROUNDUP((J21*H21)+(J21/'Bdgt Yr 1'!B21)*I21,0))</f>
        <v>0</v>
      </c>
      <c r="L21" s="28" cm="1">
        <f t="array" ref="L21">ROUNDUP(_xlfn.IFS(ISBLANK('Bdgt Yr 1'!B21),0,OR(C21="ORP",K21=0),(J21*H21*Constants!$N$14)+(Constants!$N$15*H21)+(J21/'Bdgt Yr 1'!B21*I21*Constants!$N$14),OR(C21="TSERS",K21=0),(J21*H21*Constants!$N$7)+(Constants!$N$8*H21)+(J21/'Bdgt Yr 1'!B21*I21*Constants!$N$7),OR(C21="Law Enforcement",K21=0),(J21*H21*Constants!$N$28)+(Constants!$N$29*H21)+(J21/'Bdgt Yr 1'!B21*I21*Constants!$N$28)),0)</f>
        <v>0</v>
      </c>
      <c r="M21" s="57">
        <f t="shared" si="1"/>
        <v>0</v>
      </c>
      <c r="N21" s="240">
        <f>'Cost-Share'!AK15</f>
        <v>0</v>
      </c>
      <c r="O21" s="238">
        <f>'Cost-Share'!AL15</f>
        <v>0</v>
      </c>
      <c r="P21" s="270">
        <f>'Cost-Share'!AM15</f>
        <v>0</v>
      </c>
      <c r="R21" s="420">
        <f t="shared" si="2"/>
        <v>0</v>
      </c>
      <c r="S21" s="421">
        <f t="shared" si="3"/>
        <v>0</v>
      </c>
      <c r="T21" s="421">
        <f t="shared" si="4"/>
        <v>0</v>
      </c>
      <c r="U21" s="422" t="str">
        <f t="shared" si="5"/>
        <v>-</v>
      </c>
    </row>
    <row r="22" spans="2:21">
      <c r="B22" s="492" t="str">
        <f>IF(ISBLANK('Bdgt Yr 1'!B22),"",'Bdgt Yr 1'!B22)</f>
        <v/>
      </c>
      <c r="C22" s="417" t="str">
        <f>IF(ISBLANK('Bdgt Yr 1'!C22),"",'Bdgt Yr 1'!C22)</f>
        <v/>
      </c>
      <c r="D22" s="693" t="str">
        <f>IF(ISBLANK('Bdgt Yr 1'!D22),"",'Bdgt Yr 1'!D22)</f>
        <v/>
      </c>
      <c r="E22" s="493" t="str">
        <f>T('Bdgt Yr 1'!E22)</f>
        <v xml:space="preserve"> </v>
      </c>
      <c r="F22" s="992">
        <v>0</v>
      </c>
      <c r="G22" s="993"/>
      <c r="H22" s="362">
        <f>IF(ISBLANK('Bdgt Yr 1'!B22),0,(F22/'Bdgt Yr 1'!B22))</f>
        <v>0</v>
      </c>
      <c r="I22" s="429">
        <v>0</v>
      </c>
      <c r="J22" s="25">
        <f>'Bdgt Yr 3'!J22*(1+'Budget Summary'!$G$35)</f>
        <v>0</v>
      </c>
      <c r="K22" s="507">
        <f>IF(ISBLANK('Bdgt Yr 1'!B22),0,ROUNDUP((J22*H22)+(J22/'Bdgt Yr 1'!B22)*I22,0))</f>
        <v>0</v>
      </c>
      <c r="L22" s="28" cm="1">
        <f t="array" ref="L22">ROUNDUP(_xlfn.IFS(ISBLANK('Bdgt Yr 1'!B22),0,OR(C22="ORP",K22=0),(J22*H22*Constants!$N$14)+(Constants!$N$15*H22)+(J22/'Bdgt Yr 1'!B22*I22*Constants!$N$14),OR(C22="TSERS",K22=0),(J22*H22*Constants!$N$7)+(Constants!$N$8*H22)+(J22/'Bdgt Yr 1'!B22*I22*Constants!$N$7),OR(C22="Law Enforcement",K22=0),(J22*H22*Constants!$N$28)+(Constants!$N$29*H22)+(J22/'Bdgt Yr 1'!B22*I22*Constants!$N$28)),0)</f>
        <v>0</v>
      </c>
      <c r="M22" s="57">
        <f t="shared" si="1"/>
        <v>0</v>
      </c>
      <c r="N22" s="240">
        <f>'Cost-Share'!AK16</f>
        <v>0</v>
      </c>
      <c r="O22" s="238">
        <f>'Cost-Share'!AL16</f>
        <v>0</v>
      </c>
      <c r="P22" s="270">
        <f>'Cost-Share'!AM16</f>
        <v>0</v>
      </c>
      <c r="R22" s="420">
        <f t="shared" si="2"/>
        <v>0</v>
      </c>
      <c r="S22" s="421">
        <f t="shared" si="3"/>
        <v>0</v>
      </c>
      <c r="T22" s="421">
        <f t="shared" si="4"/>
        <v>0</v>
      </c>
      <c r="U22" s="422" t="str">
        <f t="shared" si="5"/>
        <v>-</v>
      </c>
    </row>
    <row r="23" spans="2:21" ht="15" customHeight="1">
      <c r="B23" s="492" t="str">
        <f>IF(ISBLANK('Bdgt Yr 1'!B23),"",'Bdgt Yr 1'!B23)</f>
        <v/>
      </c>
      <c r="C23" s="417" t="str">
        <f>IF(ISBLANK('Bdgt Yr 1'!C23),"",'Bdgt Yr 1'!C23)</f>
        <v/>
      </c>
      <c r="D23" s="693" t="str">
        <f>IF(ISBLANK('Bdgt Yr 1'!D23),"",'Bdgt Yr 1'!D23)</f>
        <v/>
      </c>
      <c r="E23" s="493" t="str">
        <f>T('Bdgt Yr 1'!E23)</f>
        <v/>
      </c>
      <c r="F23" s="994">
        <v>0</v>
      </c>
      <c r="G23" s="995"/>
      <c r="H23" s="362">
        <f>IF(ISBLANK('Bdgt Yr 1'!B23),0,(F23/'Bdgt Yr 1'!B23))</f>
        <v>0</v>
      </c>
      <c r="I23" s="432">
        <v>0</v>
      </c>
      <c r="J23" s="25">
        <f>'Bdgt Yr 3'!J23*(1+'Budget Summary'!$G$35)</f>
        <v>0</v>
      </c>
      <c r="K23" s="507">
        <f>IF(ISBLANK('Bdgt Yr 1'!B23),0,ROUNDUP((J23*H23)+(J23/'Bdgt Yr 1'!B23)*I23,0))</f>
        <v>0</v>
      </c>
      <c r="L23" s="28" cm="1">
        <f t="array" ref="L23">ROUNDUP(_xlfn.IFS(ISBLANK('Bdgt Yr 1'!B23),0,OR(C23="ORP",K23=0),(J23*H23*Constants!$N$14)+(Constants!$N$15*H23)+(J23/'Bdgt Yr 1'!B23*I23*Constants!$N$14),OR(C23="TSERS",K23=0),(J23*H23*Constants!$N$7)+(Constants!$N$8*H23)+(J23/'Bdgt Yr 1'!B23*I23*Constants!$N$7),OR(C23="Law Enforcement",K23=0),(J23*H23*Constants!$N$28)+(Constants!$N$29*H23)+(J23/'Bdgt Yr 1'!B23*I23*Constants!$N$28)),0)</f>
        <v>0</v>
      </c>
      <c r="M23" s="58">
        <f t="shared" si="1"/>
        <v>0</v>
      </c>
      <c r="N23" s="240">
        <f>'Cost-Share'!AK17</f>
        <v>0</v>
      </c>
      <c r="O23" s="238">
        <f>'Cost-Share'!AL17</f>
        <v>0</v>
      </c>
      <c r="P23" s="270">
        <f>'Cost-Share'!AM17</f>
        <v>0</v>
      </c>
      <c r="R23" s="420">
        <f t="shared" si="2"/>
        <v>0</v>
      </c>
      <c r="S23" s="421">
        <f t="shared" si="3"/>
        <v>0</v>
      </c>
      <c r="T23" s="421">
        <f t="shared" si="4"/>
        <v>0</v>
      </c>
      <c r="U23" s="422" t="str">
        <f>IFERROR((#REF!/T23),"-")</f>
        <v>-</v>
      </c>
    </row>
    <row r="24" spans="2:21" ht="15" thickBot="1">
      <c r="B24" s="990" t="s">
        <v>155</v>
      </c>
      <c r="C24" s="991"/>
      <c r="D24" s="991"/>
      <c r="E24" s="991"/>
      <c r="F24" s="991"/>
      <c r="G24" s="991"/>
      <c r="H24" s="991"/>
      <c r="I24" s="991"/>
      <c r="J24" s="991"/>
      <c r="K24" s="276">
        <f t="shared" ref="K24:P24" si="6">SUM(K12:K23)</f>
        <v>0</v>
      </c>
      <c r="L24" s="277">
        <f t="shared" si="6"/>
        <v>0</v>
      </c>
      <c r="M24" s="278">
        <f t="shared" si="6"/>
        <v>0</v>
      </c>
      <c r="N24" s="272">
        <f t="shared" si="6"/>
        <v>0</v>
      </c>
      <c r="O24" s="273">
        <f t="shared" si="6"/>
        <v>0</v>
      </c>
      <c r="P24" s="274">
        <f t="shared" si="6"/>
        <v>0</v>
      </c>
      <c r="R24" s="434">
        <f>SUM(R12:R23)</f>
        <v>0</v>
      </c>
      <c r="S24" s="435">
        <f>SUM(S12:S23)</f>
        <v>0</v>
      </c>
      <c r="T24" s="435">
        <f>SUM(T12:T23)</f>
        <v>0</v>
      </c>
      <c r="U24" s="436"/>
    </row>
    <row r="25" spans="2:21" ht="7.5" customHeight="1">
      <c r="B25" s="960"/>
      <c r="C25" s="960"/>
      <c r="D25" s="960"/>
      <c r="E25" s="960"/>
      <c r="F25" s="960"/>
      <c r="G25" s="960"/>
      <c r="H25" s="960"/>
      <c r="I25" s="960"/>
      <c r="J25" s="960"/>
      <c r="K25" s="960"/>
      <c r="L25" s="960"/>
      <c r="M25" s="960"/>
    </row>
    <row r="26" spans="2:21" s="398" customFormat="1" ht="15.75" customHeight="1" thickBot="1">
      <c r="B26" s="985" t="s">
        <v>156</v>
      </c>
      <c r="C26" s="985"/>
      <c r="D26" s="985"/>
      <c r="E26" s="985"/>
      <c r="F26" s="985"/>
      <c r="G26" s="985"/>
      <c r="H26" s="985"/>
      <c r="I26" s="985"/>
      <c r="J26" s="985"/>
      <c r="K26" s="985"/>
      <c r="L26" s="985"/>
      <c r="M26" s="985"/>
      <c r="N26" s="985"/>
      <c r="O26" s="985"/>
      <c r="P26" s="985"/>
      <c r="Q26" s="23"/>
      <c r="R26" s="974"/>
      <c r="S26" s="974"/>
      <c r="T26" s="974"/>
      <c r="U26" s="974"/>
    </row>
    <row r="27" spans="2:21" ht="7.5" customHeight="1">
      <c r="B27" s="960"/>
      <c r="C27" s="960"/>
      <c r="D27" s="960"/>
      <c r="E27" s="960"/>
      <c r="F27" s="960"/>
      <c r="G27" s="960"/>
      <c r="H27" s="960"/>
      <c r="I27" s="960"/>
      <c r="J27" s="960"/>
      <c r="K27" s="960"/>
      <c r="L27" s="960"/>
      <c r="M27" s="960"/>
    </row>
    <row r="28" spans="2:21" ht="28.5" customHeight="1">
      <c r="B28" s="988" t="s">
        <v>157</v>
      </c>
      <c r="C28" s="989"/>
      <c r="D28" s="989"/>
      <c r="E28" s="989"/>
      <c r="F28" s="989"/>
      <c r="G28" s="989"/>
      <c r="H28" s="989"/>
      <c r="I28" s="989"/>
      <c r="J28" s="989"/>
      <c r="K28" s="989"/>
      <c r="L28" s="989"/>
      <c r="M28" s="1089"/>
      <c r="N28" s="1043" t="s">
        <v>134</v>
      </c>
      <c r="O28" s="1044"/>
      <c r="P28" s="1045"/>
      <c r="R28" s="975" t="s">
        <v>135</v>
      </c>
      <c r="S28" s="976"/>
      <c r="T28" s="976"/>
      <c r="U28" s="977"/>
    </row>
    <row r="29" spans="2:21" ht="29.25" customHeight="1">
      <c r="B29" s="980" t="s">
        <v>158</v>
      </c>
      <c r="C29" s="981"/>
      <c r="D29" s="1519" t="s">
        <v>159</v>
      </c>
      <c r="E29" s="1520"/>
      <c r="F29" s="1520"/>
      <c r="G29" s="1521"/>
      <c r="H29" s="229" t="s">
        <v>140</v>
      </c>
      <c r="I29" s="437" t="s">
        <v>160</v>
      </c>
      <c r="J29" s="438" t="s">
        <v>143</v>
      </c>
      <c r="K29" s="439" t="s">
        <v>161</v>
      </c>
      <c r="L29" s="439" t="s">
        <v>145</v>
      </c>
      <c r="M29" s="530" t="s">
        <v>146</v>
      </c>
      <c r="N29" s="263" t="s">
        <v>147</v>
      </c>
      <c r="O29" s="239" t="s">
        <v>148</v>
      </c>
      <c r="P29" s="271" t="s">
        <v>149</v>
      </c>
      <c r="R29" s="414" t="s">
        <v>150</v>
      </c>
      <c r="S29" s="415" t="s">
        <v>151</v>
      </c>
      <c r="T29" s="415" t="s">
        <v>152</v>
      </c>
      <c r="U29" s="441" t="s">
        <v>153</v>
      </c>
    </row>
    <row r="30" spans="2:21" ht="15" customHeight="1">
      <c r="B30" s="982" t="str">
        <f>'Bdgt Yr 1'!B30</f>
        <v>Non-Student Temp - 131010</v>
      </c>
      <c r="C30" s="983"/>
      <c r="D30" s="1129" t="str">
        <f>T('Bdgt Yr 1'!D30)</f>
        <v xml:space="preserve"> </v>
      </c>
      <c r="E30" s="1130"/>
      <c r="F30" s="1130"/>
      <c r="G30" s="1131"/>
      <c r="H30" s="443">
        <v>0</v>
      </c>
      <c r="I30" s="495">
        <f>H30/12</f>
        <v>0</v>
      </c>
      <c r="J30" s="25">
        <f>'Bdgt Yr 3'!J30*(1+'Budget Summary'!$G$35)</f>
        <v>0</v>
      </c>
      <c r="K30" s="337">
        <f>J30*I30</f>
        <v>0</v>
      </c>
      <c r="L30" s="34">
        <f>ROUNDUP(IF(I30=0, Constants!$N$21*H30, 0) + (K30*Constants!$N$20) + (Constants!$N$21*ROUNDUP(H30, 0)), 0)</f>
        <v>0</v>
      </c>
      <c r="M30" s="138">
        <f>(+K30+L30)</f>
        <v>0</v>
      </c>
      <c r="N30" s="240">
        <f>'Cost-Share'!AK21</f>
        <v>0</v>
      </c>
      <c r="O30" s="238">
        <f>'Cost-Share'!AL21</f>
        <v>0</v>
      </c>
      <c r="P30" s="270">
        <f>'Cost-Share'!AM21</f>
        <v>0</v>
      </c>
      <c r="R30" s="420">
        <f>K30+N30</f>
        <v>0</v>
      </c>
      <c r="S30" s="421">
        <f>L30+O30</f>
        <v>0</v>
      </c>
      <c r="T30" s="421">
        <f>M30+P30</f>
        <v>0</v>
      </c>
      <c r="U30" s="422" t="str">
        <f>IFERROR((P37/T30),"-")</f>
        <v>-</v>
      </c>
    </row>
    <row r="31" spans="2:21" ht="15.75" customHeight="1">
      <c r="B31" s="978" t="str">
        <f>'Bdgt Yr 1'!B31</f>
        <v>Non-Student Temp - 131010</v>
      </c>
      <c r="C31" s="979"/>
      <c r="D31" s="1132" t="str">
        <f>T('Bdgt Yr 1'!D31)</f>
        <v xml:space="preserve"> </v>
      </c>
      <c r="E31" s="1133"/>
      <c r="F31" s="1133"/>
      <c r="G31" s="1134"/>
      <c r="H31" s="531">
        <f>F31*12</f>
        <v>0</v>
      </c>
      <c r="I31" s="536">
        <f>H31/12</f>
        <v>0</v>
      </c>
      <c r="J31" s="537">
        <f>'Bdgt Yr 3'!J31*(1+'Budget Summary'!$G$35)</f>
        <v>0</v>
      </c>
      <c r="K31" s="534">
        <f>J31*I31</f>
        <v>0</v>
      </c>
      <c r="L31" s="697">
        <f>ROUNDUP(IF(I31=0, Constants!$N$21*H31, 0) + (K31*Constants!$N$20) + (Constants!$N$21*ROUNDUP(H31, 0)), 0)</f>
        <v>0</v>
      </c>
      <c r="M31" s="535">
        <f>(+K31+L31)</f>
        <v>0</v>
      </c>
      <c r="N31" s="538">
        <f>'Cost-Share'!AK22</f>
        <v>0</v>
      </c>
      <c r="O31" s="539">
        <f>'Cost-Share'!AL22</f>
        <v>0</v>
      </c>
      <c r="P31" s="540">
        <f>'Cost-Share'!AM22</f>
        <v>0</v>
      </c>
      <c r="R31" s="497">
        <f t="shared" ref="R31" si="7">K31+N31</f>
        <v>0</v>
      </c>
      <c r="S31" s="498">
        <f t="shared" ref="S31" si="8">L31+O31</f>
        <v>0</v>
      </c>
      <c r="T31" s="498">
        <f t="shared" ref="T31" si="9">M31+P31</f>
        <v>0</v>
      </c>
      <c r="U31" s="499" t="str">
        <f>IFERROR((P38/T31),"-")</f>
        <v>-</v>
      </c>
    </row>
    <row r="32" spans="2:21" ht="7.5" customHeight="1">
      <c r="B32" s="960"/>
      <c r="C32" s="960"/>
      <c r="D32" s="960"/>
      <c r="E32" s="960"/>
      <c r="F32" s="960"/>
      <c r="G32" s="960"/>
      <c r="H32" s="960"/>
      <c r="I32" s="960"/>
      <c r="J32" s="960"/>
      <c r="K32" s="960"/>
      <c r="L32" s="960"/>
      <c r="M32" s="960"/>
    </row>
    <row r="33" spans="2:23" s="398" customFormat="1" ht="15.75" customHeight="1" thickBot="1">
      <c r="B33" s="985" t="s">
        <v>163</v>
      </c>
      <c r="C33" s="985"/>
      <c r="D33" s="985"/>
      <c r="E33" s="985"/>
      <c r="F33" s="985"/>
      <c r="G33" s="985"/>
      <c r="H33" s="985"/>
      <c r="I33" s="985"/>
      <c r="J33" s="985"/>
      <c r="K33" s="985"/>
      <c r="L33" s="985"/>
      <c r="M33" s="985"/>
      <c r="N33" s="985"/>
      <c r="O33" s="985"/>
      <c r="P33" s="985"/>
      <c r="Q33" s="23"/>
      <c r="R33" s="974"/>
      <c r="S33" s="974"/>
      <c r="T33" s="974"/>
      <c r="U33" s="974"/>
    </row>
    <row r="34" spans="2:23" ht="7.5" customHeight="1" thickBot="1">
      <c r="B34" s="960"/>
      <c r="C34" s="960"/>
      <c r="D34" s="960"/>
      <c r="E34" s="960"/>
      <c r="F34" s="960"/>
      <c r="G34" s="960"/>
      <c r="H34" s="960"/>
      <c r="I34" s="960"/>
      <c r="J34" s="960"/>
      <c r="K34" s="960"/>
      <c r="L34" s="960"/>
      <c r="M34" s="960"/>
    </row>
    <row r="35" spans="2:23" ht="28.5" customHeight="1">
      <c r="B35" s="1098" t="s">
        <v>164</v>
      </c>
      <c r="C35" s="1135"/>
      <c r="D35" s="1135"/>
      <c r="E35" s="1135"/>
      <c r="F35" s="1135"/>
      <c r="G35" s="1135"/>
      <c r="H35" s="1135"/>
      <c r="I35" s="1135"/>
      <c r="J35" s="1135"/>
      <c r="K35" s="1135"/>
      <c r="L35" s="1135"/>
      <c r="M35" s="1136"/>
      <c r="N35" s="1093" t="s">
        <v>134</v>
      </c>
      <c r="O35" s="1094"/>
      <c r="P35" s="1095"/>
      <c r="Q35" s="410"/>
      <c r="R35" s="975" t="s">
        <v>135</v>
      </c>
      <c r="S35" s="976"/>
      <c r="T35" s="976"/>
      <c r="U35" s="977"/>
      <c r="V35" s="529"/>
      <c r="W35" s="528"/>
    </row>
    <row r="36" spans="2:23" ht="29.25" customHeight="1">
      <c r="B36" s="980" t="s">
        <v>158</v>
      </c>
      <c r="C36" s="981"/>
      <c r="D36" s="1528" t="s">
        <v>159</v>
      </c>
      <c r="E36" s="1529"/>
      <c r="F36" s="1529"/>
      <c r="G36" s="1530"/>
      <c r="H36" s="1001" t="s">
        <v>165</v>
      </c>
      <c r="I36" s="1002"/>
      <c r="J36" s="438" t="s">
        <v>166</v>
      </c>
      <c r="K36" s="439" t="s">
        <v>161</v>
      </c>
      <c r="L36" s="439" t="s">
        <v>145</v>
      </c>
      <c r="M36" s="440" t="s">
        <v>146</v>
      </c>
      <c r="N36" s="263" t="s">
        <v>147</v>
      </c>
      <c r="O36" s="239" t="s">
        <v>148</v>
      </c>
      <c r="P36" s="271" t="s">
        <v>149</v>
      </c>
      <c r="R36" s="414" t="s">
        <v>150</v>
      </c>
      <c r="S36" s="415" t="s">
        <v>151</v>
      </c>
      <c r="T36" s="415" t="s">
        <v>152</v>
      </c>
      <c r="U36" s="416" t="s">
        <v>153</v>
      </c>
    </row>
    <row r="37" spans="2:23" ht="15" customHeight="1">
      <c r="B37" s="982">
        <f>'Bdgt Yr 1'!B37</f>
        <v>131010</v>
      </c>
      <c r="C37" s="983"/>
      <c r="D37" s="1129" t="str">
        <f>T('Bdgt Yr 1'!D37)</f>
        <v xml:space="preserve"> </v>
      </c>
      <c r="E37" s="1130"/>
      <c r="F37" s="1130"/>
      <c r="G37" s="1131"/>
      <c r="H37" s="1003">
        <f>'Bdgt Yr 3'!H37*(1+'Budget Summary'!$G$35)</f>
        <v>0</v>
      </c>
      <c r="I37" s="1004"/>
      <c r="J37" s="25">
        <f>'Bdgt Yr 3'!J37*(1+'Budget Summary'!$G$35)</f>
        <v>0</v>
      </c>
      <c r="K37" s="34">
        <f>ROUNDUP((H37*J37),0)</f>
        <v>0</v>
      </c>
      <c r="L37" s="695">
        <f>ROUNDUP((K37*Constants!$N$20),0)</f>
        <v>0</v>
      </c>
      <c r="M37" s="59">
        <f>(+K37+L37)</f>
        <v>0</v>
      </c>
      <c r="N37" s="240">
        <f>'Cost-Share'!AK25</f>
        <v>0</v>
      </c>
      <c r="O37" s="238">
        <f>'Cost-Share'!AL25</f>
        <v>0</v>
      </c>
      <c r="P37" s="270">
        <f>'Cost-Share'!AM25</f>
        <v>0</v>
      </c>
      <c r="R37" s="420">
        <f>K37+N37</f>
        <v>0</v>
      </c>
      <c r="S37" s="421">
        <f>L37+O37</f>
        <v>0</v>
      </c>
      <c r="T37" s="421">
        <f>M37+P37</f>
        <v>0</v>
      </c>
      <c r="U37" s="422" t="str">
        <f>IFERROR((P44/T37),"-")</f>
        <v>-</v>
      </c>
    </row>
    <row r="38" spans="2:23" ht="15.75" customHeight="1" thickBot="1">
      <c r="B38" s="978">
        <f>'Bdgt Yr 1'!B38</f>
        <v>131010</v>
      </c>
      <c r="C38" s="979"/>
      <c r="D38" s="1132" t="str">
        <f>T('Bdgt Yr 1'!D38)</f>
        <v xml:space="preserve"> </v>
      </c>
      <c r="E38" s="1133"/>
      <c r="F38" s="1133"/>
      <c r="G38" s="1134"/>
      <c r="H38" s="1096">
        <v>0</v>
      </c>
      <c r="I38" s="1097"/>
      <c r="J38" s="25">
        <f>'Bdgt Yr 3'!J38*(1+'Budget Summary'!$G$35)</f>
        <v>0</v>
      </c>
      <c r="K38" s="34">
        <f>ROUNDUP((H38*J38),0)</f>
        <v>0</v>
      </c>
      <c r="L38" s="31">
        <f>ROUNDUP((K38*Constants!$N$20),0)</f>
        <v>0</v>
      </c>
      <c r="M38" s="61">
        <f>(+K38+L38)</f>
        <v>0</v>
      </c>
      <c r="N38" s="240">
        <f>'Cost-Share'!AK26</f>
        <v>0</v>
      </c>
      <c r="O38" s="238">
        <f>'Cost-Share'!AL26</f>
        <v>0</v>
      </c>
      <c r="P38" s="270">
        <f>'Cost-Share'!AM26</f>
        <v>0</v>
      </c>
      <c r="R38" s="420">
        <f t="shared" ref="R38" si="10">K38+N38</f>
        <v>0</v>
      </c>
      <c r="S38" s="421">
        <f t="shared" ref="S38" si="11">L38+O38</f>
        <v>0</v>
      </c>
      <c r="T38" s="421">
        <f t="shared" ref="T38" si="12">M38+P38</f>
        <v>0</v>
      </c>
      <c r="U38" s="422" t="str">
        <f>IFERROR((P45/T38),"-")</f>
        <v>-</v>
      </c>
    </row>
    <row r="39" spans="2:23" ht="15" thickBot="1">
      <c r="B39" s="990" t="s">
        <v>167</v>
      </c>
      <c r="C39" s="991"/>
      <c r="D39" s="991"/>
      <c r="E39" s="991"/>
      <c r="F39" s="991"/>
      <c r="G39" s="991"/>
      <c r="H39" s="991"/>
      <c r="I39" s="991"/>
      <c r="J39" s="991"/>
      <c r="K39" s="276">
        <f>SUM(K30:K38)</f>
        <v>0</v>
      </c>
      <c r="L39" s="277">
        <f>SUM(L30:L38)</f>
        <v>0</v>
      </c>
      <c r="M39" s="279">
        <f>SUM(M30:M38)</f>
        <v>0</v>
      </c>
      <c r="N39" s="288">
        <f t="shared" ref="N39:O39" si="13">SUM(N30:N38)</f>
        <v>0</v>
      </c>
      <c r="O39" s="282">
        <f t="shared" si="13"/>
        <v>0</v>
      </c>
      <c r="P39" s="283">
        <f>SUM(P30:P38)</f>
        <v>0</v>
      </c>
      <c r="Q39" s="410"/>
      <c r="R39" s="434">
        <f>SUM(R30:R38)</f>
        <v>0</v>
      </c>
      <c r="S39" s="446">
        <f>SUM(S30:S38)</f>
        <v>0</v>
      </c>
      <c r="T39" s="446">
        <f>SUM(T30:T38)</f>
        <v>0</v>
      </c>
      <c r="U39" s="447"/>
    </row>
    <row r="40" spans="2:23" ht="7.5" customHeight="1">
      <c r="B40" s="960"/>
      <c r="C40" s="960"/>
      <c r="D40" s="960"/>
      <c r="E40" s="960"/>
      <c r="F40" s="960"/>
      <c r="G40" s="960"/>
      <c r="H40" s="960"/>
      <c r="I40" s="960"/>
      <c r="J40" s="960"/>
      <c r="K40" s="960"/>
      <c r="L40" s="960"/>
      <c r="M40" s="960"/>
    </row>
    <row r="41" spans="2:23" s="398" customFormat="1" ht="15.75" customHeight="1" thickBot="1">
      <c r="B41" s="985" t="s">
        <v>168</v>
      </c>
      <c r="C41" s="985"/>
      <c r="D41" s="985"/>
      <c r="E41" s="985"/>
      <c r="F41" s="985"/>
      <c r="G41" s="985"/>
      <c r="H41" s="985"/>
      <c r="I41" s="985"/>
      <c r="J41" s="985"/>
      <c r="K41" s="985"/>
      <c r="L41" s="985"/>
      <c r="M41" s="985"/>
      <c r="N41" s="985"/>
      <c r="O41" s="985"/>
      <c r="P41" s="985"/>
      <c r="Q41" s="23"/>
      <c r="R41" s="974"/>
      <c r="S41" s="974"/>
      <c r="T41" s="974"/>
      <c r="U41" s="974"/>
    </row>
    <row r="42" spans="2:23" ht="7.5" customHeight="1">
      <c r="B42" s="960"/>
      <c r="C42" s="960"/>
      <c r="D42" s="960"/>
      <c r="E42" s="960"/>
      <c r="F42" s="960"/>
      <c r="G42" s="960"/>
      <c r="H42" s="960"/>
      <c r="I42" s="960"/>
      <c r="J42" s="960"/>
      <c r="K42" s="960"/>
      <c r="L42" s="960"/>
      <c r="M42" s="960"/>
    </row>
    <row r="43" spans="2:23" ht="42" customHeight="1">
      <c r="B43" s="1068" t="s">
        <v>169</v>
      </c>
      <c r="C43" s="1069"/>
      <c r="D43" s="1069"/>
      <c r="E43" s="1069"/>
      <c r="F43" s="1069"/>
      <c r="G43" s="1069"/>
      <c r="H43" s="1069"/>
      <c r="I43" s="1069"/>
      <c r="J43" s="1069"/>
      <c r="K43" s="1069"/>
      <c r="L43" s="1069"/>
      <c r="M43" s="1069"/>
      <c r="N43" s="1063" t="s">
        <v>134</v>
      </c>
      <c r="O43" s="1064"/>
      <c r="P43" s="1065"/>
      <c r="R43" s="1080" t="s">
        <v>135</v>
      </c>
      <c r="S43" s="1081"/>
      <c r="T43" s="1081"/>
      <c r="U43" s="1082"/>
    </row>
    <row r="44" spans="2:23" ht="29.25" customHeight="1">
      <c r="B44" s="980" t="s">
        <v>158</v>
      </c>
      <c r="C44" s="981"/>
      <c r="D44" s="1528" t="s">
        <v>159</v>
      </c>
      <c r="E44" s="1529"/>
      <c r="F44" s="1529"/>
      <c r="G44" s="1531"/>
      <c r="H44" s="449" t="s">
        <v>170</v>
      </c>
      <c r="I44" s="449" t="s">
        <v>171</v>
      </c>
      <c r="J44" s="438" t="s">
        <v>166</v>
      </c>
      <c r="K44" s="450" t="s">
        <v>144</v>
      </c>
      <c r="L44" s="450" t="s">
        <v>145</v>
      </c>
      <c r="M44" s="451" t="s">
        <v>146</v>
      </c>
      <c r="N44" s="263" t="s">
        <v>147</v>
      </c>
      <c r="O44" s="239" t="s">
        <v>148</v>
      </c>
      <c r="P44" s="271" t="s">
        <v>149</v>
      </c>
      <c r="R44" s="414" t="s">
        <v>150</v>
      </c>
      <c r="S44" s="415" t="s">
        <v>151</v>
      </c>
      <c r="T44" s="415" t="s">
        <v>152</v>
      </c>
      <c r="U44" s="441" t="s">
        <v>153</v>
      </c>
    </row>
    <row r="45" spans="2:23" ht="15" customHeight="1">
      <c r="B45" s="982">
        <v>135050</v>
      </c>
      <c r="C45" s="983"/>
      <c r="D45" s="1532" t="s">
        <v>172</v>
      </c>
      <c r="E45" s="1533"/>
      <c r="F45" s="1533"/>
      <c r="G45" s="1534"/>
      <c r="H45" s="453">
        <v>0</v>
      </c>
      <c r="I45" s="453">
        <v>0</v>
      </c>
      <c r="J45" s="454">
        <v>0</v>
      </c>
      <c r="K45" s="25">
        <f>(+H45+I45)*J45</f>
        <v>0</v>
      </c>
      <c r="L45" s="25">
        <f>ROUNDUP((((I45*J45)*Constants!$N$20)+((H45*J45)*Constants!$N$18)),0)</f>
        <v>0</v>
      </c>
      <c r="M45" s="133">
        <f>(+K45+L45)</f>
        <v>0</v>
      </c>
      <c r="N45" s="240">
        <f>'Cost-Share'!AK30</f>
        <v>0</v>
      </c>
      <c r="O45" s="238">
        <f>'Cost-Share'!AL30</f>
        <v>0</v>
      </c>
      <c r="P45" s="270">
        <f>'Cost-Share'!AM30</f>
        <v>0</v>
      </c>
      <c r="R45" s="420">
        <f>K45+N45</f>
        <v>0</v>
      </c>
      <c r="S45" s="421">
        <f>L45+O45</f>
        <v>0</v>
      </c>
      <c r="T45" s="421">
        <f>M45+P45</f>
        <v>0</v>
      </c>
      <c r="U45" s="422" t="str">
        <f>IFERROR((P49/T45),"-")</f>
        <v>-</v>
      </c>
    </row>
    <row r="46" spans="2:23" ht="15" customHeight="1">
      <c r="B46" s="982">
        <v>135050</v>
      </c>
      <c r="C46" s="983"/>
      <c r="D46" s="1532" t="s">
        <v>172</v>
      </c>
      <c r="E46" s="1533"/>
      <c r="F46" s="1533"/>
      <c r="G46" s="1534"/>
      <c r="H46" s="456">
        <v>0</v>
      </c>
      <c r="I46" s="456">
        <v>0</v>
      </c>
      <c r="J46" s="454">
        <v>0</v>
      </c>
      <c r="K46" s="25">
        <f t="shared" ref="K46:K48" si="14">(+H46+I46)*J46</f>
        <v>0</v>
      </c>
      <c r="L46" s="25">
        <f>ROUNDUP((((I46*J46)*Constants!$N$20)+((H46*J46)*Constants!$N$18)),0)</f>
        <v>0</v>
      </c>
      <c r="M46" s="134">
        <f t="shared" ref="M46:M47" si="15">(+K46+L46)</f>
        <v>0</v>
      </c>
      <c r="N46" s="240">
        <f>'Cost-Share'!AK31</f>
        <v>0</v>
      </c>
      <c r="O46" s="238">
        <f>'Cost-Share'!AL31</f>
        <v>0</v>
      </c>
      <c r="P46" s="270">
        <f>'Cost-Share'!AM31</f>
        <v>0</v>
      </c>
      <c r="R46" s="420">
        <f t="shared" ref="R46" si="16">K46+N46</f>
        <v>0</v>
      </c>
      <c r="S46" s="421">
        <f t="shared" ref="S46" si="17">L46+O46</f>
        <v>0</v>
      </c>
      <c r="T46" s="421">
        <f t="shared" ref="T46" si="18">M46+P46</f>
        <v>0</v>
      </c>
      <c r="U46" s="422" t="str">
        <f>IFERROR((P50/T46),"-")</f>
        <v>-</v>
      </c>
    </row>
    <row r="47" spans="2:23" ht="15" customHeight="1">
      <c r="B47" s="982">
        <v>135050</v>
      </c>
      <c r="C47" s="983"/>
      <c r="D47" s="1532" t="s">
        <v>173</v>
      </c>
      <c r="E47" s="1533"/>
      <c r="F47" s="1533"/>
      <c r="G47" s="1534"/>
      <c r="H47" s="457">
        <v>0</v>
      </c>
      <c r="I47" s="457">
        <v>0</v>
      </c>
      <c r="J47" s="454">
        <v>0</v>
      </c>
      <c r="K47" s="25">
        <f t="shared" si="14"/>
        <v>0</v>
      </c>
      <c r="L47" s="25">
        <f>ROUNDUP((((I47*J47)*Constants!$N$20)+((H47*J47)*Constants!$N$18)),0)</f>
        <v>0</v>
      </c>
      <c r="M47" s="134">
        <f t="shared" si="15"/>
        <v>0</v>
      </c>
      <c r="N47" s="240">
        <f>'Cost-Share'!AK32</f>
        <v>0</v>
      </c>
      <c r="O47" s="238">
        <f>'Cost-Share'!AL32</f>
        <v>0</v>
      </c>
      <c r="P47" s="270">
        <f>'Cost-Share'!AM32</f>
        <v>0</v>
      </c>
      <c r="Q47" s="448"/>
      <c r="R47" s="420">
        <f>K47+N47</f>
        <v>0</v>
      </c>
      <c r="S47" s="421">
        <f>L47+O47</f>
        <v>0</v>
      </c>
      <c r="T47" s="421">
        <f>M47+P47</f>
        <v>0</v>
      </c>
      <c r="U47" s="422" t="str">
        <f>IFERROR((P51/T47),"-")</f>
        <v>-</v>
      </c>
    </row>
    <row r="48" spans="2:23" ht="15" customHeight="1">
      <c r="B48" s="982">
        <v>135050</v>
      </c>
      <c r="C48" s="983"/>
      <c r="D48" s="1532" t="s">
        <v>173</v>
      </c>
      <c r="E48" s="1533"/>
      <c r="F48" s="1533"/>
      <c r="G48" s="1534"/>
      <c r="H48" s="458">
        <v>0</v>
      </c>
      <c r="I48" s="458">
        <v>0</v>
      </c>
      <c r="J48" s="459">
        <v>0</v>
      </c>
      <c r="K48" s="25">
        <f t="shared" si="14"/>
        <v>0</v>
      </c>
      <c r="L48" s="25">
        <f>ROUNDUP((((I48*J48)*Constants!$N$20)+((H48*J48)*Constants!$N$18)),0)</f>
        <v>0</v>
      </c>
      <c r="M48" s="60">
        <f>(+K48+L48)</f>
        <v>0</v>
      </c>
      <c r="N48" s="240">
        <f>'Cost-Share'!AK33</f>
        <v>0</v>
      </c>
      <c r="O48" s="238">
        <f>'Cost-Share'!AL33</f>
        <v>0</v>
      </c>
      <c r="P48" s="270">
        <f>'Cost-Share'!AM33</f>
        <v>0</v>
      </c>
      <c r="R48" s="420">
        <f t="shared" ref="R48" si="19">K48+N48</f>
        <v>0</v>
      </c>
      <c r="S48" s="421">
        <f t="shared" ref="S48" si="20">L48+O48</f>
        <v>0</v>
      </c>
      <c r="T48" s="421">
        <f t="shared" ref="T48" si="21">M48+P48</f>
        <v>0</v>
      </c>
      <c r="U48" s="422" t="str">
        <f>IFERROR((#REF!/T48),"-")</f>
        <v>-</v>
      </c>
    </row>
    <row r="49" spans="2:21" ht="15" customHeight="1">
      <c r="B49" s="982"/>
      <c r="C49" s="983"/>
      <c r="D49" s="998"/>
      <c r="E49" s="999"/>
      <c r="F49" s="999"/>
      <c r="G49" s="1000"/>
      <c r="H49" s="1085" t="s">
        <v>174</v>
      </c>
      <c r="I49" s="1086"/>
      <c r="J49" s="461" t="s">
        <v>175</v>
      </c>
      <c r="K49" s="1090"/>
      <c r="L49" s="460" t="s">
        <v>145</v>
      </c>
      <c r="M49" s="460" t="s">
        <v>146</v>
      </c>
      <c r="N49" s="243" t="s">
        <v>176</v>
      </c>
      <c r="O49" s="244" t="s">
        <v>145</v>
      </c>
      <c r="P49" s="293" t="s">
        <v>146</v>
      </c>
      <c r="R49" s="496" t="s">
        <v>176</v>
      </c>
      <c r="S49" s="463" t="s">
        <v>145</v>
      </c>
      <c r="T49" s="463" t="s">
        <v>152</v>
      </c>
      <c r="U49" s="464" t="s">
        <v>153</v>
      </c>
    </row>
    <row r="50" spans="2:21" ht="15" customHeight="1">
      <c r="B50" s="982">
        <v>135050</v>
      </c>
      <c r="C50" s="983"/>
      <c r="D50" s="1532" t="s">
        <v>177</v>
      </c>
      <c r="E50" s="1533"/>
      <c r="F50" s="1533"/>
      <c r="G50" s="1534"/>
      <c r="H50" s="1087">
        <v>0</v>
      </c>
      <c r="I50" s="1088"/>
      <c r="J50" s="465">
        <v>0</v>
      </c>
      <c r="K50" s="1091"/>
      <c r="L50" s="60">
        <f>ROUNDUP(((J50*Constants!$N$20)+(H50*Constants!$N$18)),0)</f>
        <v>0</v>
      </c>
      <c r="M50" s="60">
        <f>(H50+J50+L50)</f>
        <v>0</v>
      </c>
      <c r="N50" s="240">
        <f>'Cost-Share'!AK35</f>
        <v>0</v>
      </c>
      <c r="O50" s="238">
        <f>'Cost-Share'!AL35</f>
        <v>0</v>
      </c>
      <c r="P50" s="270">
        <f>'Cost-Share'!AM35</f>
        <v>0</v>
      </c>
      <c r="R50" s="420">
        <f>K50+N50</f>
        <v>0</v>
      </c>
      <c r="S50" s="421">
        <f>L50+O50</f>
        <v>0</v>
      </c>
      <c r="T50" s="421">
        <f>M50+P50</f>
        <v>0</v>
      </c>
      <c r="U50" s="422" t="str">
        <f>IFERROR((#REF!/T50),"-")</f>
        <v>-</v>
      </c>
    </row>
    <row r="51" spans="2:21" ht="14.25" customHeight="1" thickBot="1">
      <c r="B51" s="982">
        <v>135050</v>
      </c>
      <c r="C51" s="983"/>
      <c r="D51" s="1525" t="s">
        <v>177</v>
      </c>
      <c r="E51" s="1526"/>
      <c r="F51" s="1526"/>
      <c r="G51" s="1527"/>
      <c r="H51" s="1083">
        <v>0</v>
      </c>
      <c r="I51" s="1084"/>
      <c r="J51" s="466">
        <v>0</v>
      </c>
      <c r="K51" s="1092"/>
      <c r="L51" s="60">
        <f>(J51*Constants!$N$20)+(H51*Constants!$N$18)</f>
        <v>0</v>
      </c>
      <c r="M51" s="60">
        <f>(H51+J51+L51)</f>
        <v>0</v>
      </c>
      <c r="N51" s="240">
        <f>'Cost-Share'!AK36</f>
        <v>0</v>
      </c>
      <c r="O51" s="238">
        <f>'Cost-Share'!AL36</f>
        <v>0</v>
      </c>
      <c r="P51" s="270">
        <f>'Cost-Share'!AM36</f>
        <v>0</v>
      </c>
      <c r="R51" s="497">
        <f t="shared" ref="R51" si="22">K51+N51</f>
        <v>0</v>
      </c>
      <c r="S51" s="498">
        <f t="shared" ref="S51" si="23">L51+O51</f>
        <v>0</v>
      </c>
      <c r="T51" s="498">
        <f t="shared" ref="T51" si="24">M51+P51</f>
        <v>0</v>
      </c>
      <c r="U51" s="499" t="str">
        <f>IFERROR((#REF!/T51),"-")</f>
        <v>-</v>
      </c>
    </row>
    <row r="52" spans="2:21" ht="15" thickBot="1">
      <c r="B52" s="990" t="s">
        <v>178</v>
      </c>
      <c r="C52" s="991"/>
      <c r="D52" s="991"/>
      <c r="E52" s="991"/>
      <c r="F52" s="991"/>
      <c r="G52" s="991"/>
      <c r="H52" s="991"/>
      <c r="I52" s="991"/>
      <c r="J52" s="991"/>
      <c r="K52" s="276">
        <f>SUM(K45:K48,H50:J51)</f>
        <v>0</v>
      </c>
      <c r="L52" s="277">
        <f>SUM(L45:L51)</f>
        <v>0</v>
      </c>
      <c r="M52" s="278">
        <f>SUM(M45:M51)</f>
        <v>0</v>
      </c>
      <c r="N52" s="294">
        <f t="shared" ref="N52:P52" si="25">SUM(N49:N51)</f>
        <v>0</v>
      </c>
      <c r="O52" s="295">
        <f t="shared" si="25"/>
        <v>0</v>
      </c>
      <c r="P52" s="296">
        <f t="shared" si="25"/>
        <v>0</v>
      </c>
      <c r="R52" s="500" t="s">
        <v>234</v>
      </c>
      <c r="S52" s="501" t="s">
        <v>235</v>
      </c>
      <c r="T52" s="501" t="s">
        <v>235</v>
      </c>
      <c r="U52" s="502"/>
    </row>
    <row r="53" spans="2:21" ht="7.5" customHeight="1" thickBot="1">
      <c r="B53" s="960"/>
      <c r="C53" s="960"/>
      <c r="D53" s="960"/>
      <c r="E53" s="960"/>
      <c r="F53" s="960"/>
      <c r="G53" s="960"/>
      <c r="H53" s="960"/>
      <c r="I53" s="960"/>
      <c r="J53" s="960"/>
      <c r="K53" s="960"/>
      <c r="L53" s="960"/>
      <c r="M53" s="960"/>
    </row>
    <row r="54" spans="2:21" ht="15" customHeight="1" thickBot="1">
      <c r="B54" s="996" t="s">
        <v>179</v>
      </c>
      <c r="C54" s="997"/>
      <c r="D54" s="997"/>
      <c r="E54" s="997"/>
      <c r="F54" s="997"/>
      <c r="G54" s="997"/>
      <c r="H54" s="997"/>
      <c r="I54" s="997"/>
      <c r="J54" s="997"/>
      <c r="K54" s="298">
        <f t="shared" ref="K54:P54" si="26">K24+K39+K52</f>
        <v>0</v>
      </c>
      <c r="L54" s="298">
        <f>L24+L39+L52</f>
        <v>0</v>
      </c>
      <c r="M54" s="298">
        <f t="shared" si="26"/>
        <v>0</v>
      </c>
      <c r="N54" s="288">
        <f t="shared" si="26"/>
        <v>0</v>
      </c>
      <c r="O54" s="288">
        <f t="shared" si="26"/>
        <v>0</v>
      </c>
      <c r="P54" s="288">
        <f t="shared" si="26"/>
        <v>0</v>
      </c>
    </row>
    <row r="55" spans="2:21" ht="7.5" customHeight="1">
      <c r="B55" s="960"/>
      <c r="C55" s="960"/>
      <c r="D55" s="960"/>
      <c r="E55" s="960"/>
      <c r="F55" s="960"/>
      <c r="G55" s="960"/>
      <c r="H55" s="960"/>
      <c r="I55" s="960"/>
      <c r="J55" s="960"/>
      <c r="K55" s="960"/>
      <c r="L55" s="960"/>
      <c r="M55" s="960"/>
    </row>
    <row r="56" spans="2:21" ht="15.75" thickBot="1">
      <c r="B56" s="985" t="s">
        <v>180</v>
      </c>
      <c r="C56" s="985"/>
      <c r="D56" s="985"/>
      <c r="E56" s="985"/>
      <c r="F56" s="985"/>
      <c r="G56" s="985"/>
      <c r="H56" s="985"/>
      <c r="I56" s="985"/>
      <c r="J56" s="985"/>
      <c r="K56" s="985"/>
      <c r="L56" s="985"/>
      <c r="M56" s="985"/>
      <c r="N56" s="985"/>
      <c r="O56" s="985"/>
      <c r="P56" s="985"/>
    </row>
    <row r="57" spans="2:21" ht="7.5" customHeight="1" thickBot="1">
      <c r="B57" s="960"/>
      <c r="C57" s="960"/>
      <c r="D57" s="960"/>
      <c r="E57" s="960"/>
      <c r="F57" s="960"/>
      <c r="G57" s="960"/>
      <c r="H57" s="960"/>
      <c r="I57" s="960"/>
      <c r="J57" s="960"/>
      <c r="K57" s="960"/>
      <c r="L57" s="960"/>
      <c r="M57" s="960"/>
      <c r="N57" s="360"/>
    </row>
    <row r="58" spans="2:21">
      <c r="B58" s="1535" t="s">
        <v>181</v>
      </c>
      <c r="C58" s="1536"/>
      <c r="D58" s="1536"/>
      <c r="E58" s="1536"/>
      <c r="F58" s="962" t="s">
        <v>182</v>
      </c>
      <c r="G58" s="962"/>
      <c r="H58" s="962" t="s">
        <v>183</v>
      </c>
      <c r="I58" s="962"/>
      <c r="J58" s="962" t="s">
        <v>184</v>
      </c>
      <c r="K58" s="962"/>
      <c r="L58" s="962"/>
      <c r="M58" s="467"/>
      <c r="N58" s="468" t="s">
        <v>185</v>
      </c>
    </row>
    <row r="59" spans="2:21" ht="15" customHeight="1">
      <c r="B59" s="1111" t="str">
        <f>'Bdgt Yr 1'!B59</f>
        <v>689036</v>
      </c>
      <c r="C59" s="1112">
        <f>'Bdgt Yr 1'!C68</f>
        <v>0</v>
      </c>
      <c r="D59" s="1537" t="s">
        <v>187</v>
      </c>
      <c r="E59" s="1538"/>
      <c r="F59" s="958"/>
      <c r="G59" s="959"/>
      <c r="H59" s="958"/>
      <c r="I59" s="1060"/>
      <c r="J59" s="959"/>
      <c r="K59" s="959"/>
      <c r="L59" s="1077"/>
      <c r="M59" s="469">
        <f>IFERROR(INDEX('Tuition &amp; Fees'!C4:D21,MATCH(J59,'Tuition &amp; Fees'!B4:B21,0),MATCH(H59,'Tuition &amp; Fees'!C3:D3,0)),"0")*F59</f>
        <v>0</v>
      </c>
      <c r="N59" s="303">
        <f>'Cost-Share'!AM44</f>
        <v>0</v>
      </c>
    </row>
    <row r="60" spans="2:21" ht="15" customHeight="1">
      <c r="B60" s="1111" t="str">
        <f>'Bdgt Yr 1'!B60</f>
        <v>689036</v>
      </c>
      <c r="C60" s="1112">
        <f>'Bdgt Yr 1'!C69</f>
        <v>0</v>
      </c>
      <c r="D60" s="1539" t="s">
        <v>188</v>
      </c>
      <c r="E60" s="1540"/>
      <c r="F60" s="1058"/>
      <c r="G60" s="1059"/>
      <c r="H60" s="1058"/>
      <c r="I60" s="1061"/>
      <c r="J60" s="1078"/>
      <c r="K60" s="1078"/>
      <c r="L60" s="1079"/>
      <c r="M60" s="470">
        <f>IFERROR(INDEX('Tuition &amp; Fees'!C25:D42,MATCH(J60,'Tuition &amp; Fees'!B25:B42,0),MATCH(H60,'Tuition &amp; Fees'!C24:D24,0)),"0")*F60</f>
        <v>0</v>
      </c>
      <c r="N60" s="303">
        <f>'Cost-Share'!AM45</f>
        <v>0</v>
      </c>
    </row>
    <row r="61" spans="2:21" ht="15" customHeight="1">
      <c r="B61" s="1111">
        <f>'Bdgt Yr 1'!B61</f>
        <v>689036</v>
      </c>
      <c r="C61" s="1112">
        <f>'Bdgt Yr 1'!C70</f>
        <v>0</v>
      </c>
      <c r="D61" s="1541" t="s">
        <v>189</v>
      </c>
      <c r="E61" s="1542"/>
      <c r="F61" s="967"/>
      <c r="G61" s="968"/>
      <c r="H61" s="968"/>
      <c r="I61" s="968"/>
      <c r="J61" s="968"/>
      <c r="K61" s="968"/>
      <c r="L61" s="969"/>
      <c r="M61" s="61">
        <v>0</v>
      </c>
      <c r="N61" s="303">
        <f>'Cost-Share'!AM46</f>
        <v>0</v>
      </c>
    </row>
    <row r="62" spans="2:21">
      <c r="B62" s="990" t="s">
        <v>229</v>
      </c>
      <c r="C62" s="991"/>
      <c r="D62" s="991"/>
      <c r="E62" s="991"/>
      <c r="F62" s="991"/>
      <c r="G62" s="991"/>
      <c r="H62" s="991"/>
      <c r="I62" s="991"/>
      <c r="J62" s="991"/>
      <c r="K62" s="991"/>
      <c r="L62" s="1012"/>
      <c r="M62" s="342">
        <f>SUM(M59:M61)</f>
        <v>0</v>
      </c>
      <c r="N62" s="304">
        <f>SUM(N59:N61)</f>
        <v>0</v>
      </c>
    </row>
    <row r="63" spans="2:21" ht="7.5" customHeight="1" thickBot="1">
      <c r="B63" s="960"/>
      <c r="C63" s="960"/>
      <c r="D63" s="960"/>
      <c r="E63" s="960"/>
      <c r="F63" s="960"/>
      <c r="G63" s="960"/>
      <c r="H63" s="960"/>
      <c r="I63" s="960"/>
      <c r="J63" s="960"/>
      <c r="K63" s="960"/>
      <c r="L63" s="960"/>
      <c r="M63" s="960"/>
    </row>
    <row r="64" spans="2:21">
      <c r="B64" s="1543" t="s">
        <v>230</v>
      </c>
      <c r="C64" s="1544"/>
      <c r="D64" s="1544"/>
      <c r="E64" s="1544"/>
      <c r="F64" s="961" t="s">
        <v>191</v>
      </c>
      <c r="G64" s="961"/>
      <c r="H64" s="961"/>
      <c r="I64" s="961"/>
      <c r="J64" s="961"/>
      <c r="K64" s="961"/>
      <c r="L64" s="961"/>
      <c r="M64" s="961"/>
      <c r="N64" s="471" t="s">
        <v>185</v>
      </c>
      <c r="P64" s="472"/>
    </row>
    <row r="65" spans="2:14" ht="15" customHeight="1">
      <c r="B65" s="1111" t="str">
        <f>'Bdgt Yr 1'!B65</f>
        <v>4000BP</v>
      </c>
      <c r="C65" s="1112">
        <f>'Bdgt Yr 1'!C74</f>
        <v>0</v>
      </c>
      <c r="D65" s="1545" t="s">
        <v>116</v>
      </c>
      <c r="E65" s="1546"/>
      <c r="F65" s="1006"/>
      <c r="G65" s="1007"/>
      <c r="H65" s="1007"/>
      <c r="I65" s="1007"/>
      <c r="J65" s="1007"/>
      <c r="K65" s="1007"/>
      <c r="L65" s="1008"/>
      <c r="M65" s="469">
        <v>0</v>
      </c>
      <c r="N65" s="303">
        <f>'Cost-Share'!AM50</f>
        <v>0</v>
      </c>
    </row>
    <row r="66" spans="2:14" ht="15.75" customHeight="1" thickBot="1">
      <c r="B66" s="1111" t="str">
        <f>'Bdgt Yr 1'!B66</f>
        <v>4000BP</v>
      </c>
      <c r="C66" s="1112">
        <f>'Bdgt Yr 1'!C75</f>
        <v>0</v>
      </c>
      <c r="D66" s="1541" t="s">
        <v>116</v>
      </c>
      <c r="E66" s="1542"/>
      <c r="F66" s="967"/>
      <c r="G66" s="968"/>
      <c r="H66" s="968"/>
      <c r="I66" s="968"/>
      <c r="J66" s="968"/>
      <c r="K66" s="968"/>
      <c r="L66" s="969"/>
      <c r="M66" s="61">
        <v>0</v>
      </c>
      <c r="N66" s="303">
        <f>'Cost-Share'!AM51</f>
        <v>0</v>
      </c>
    </row>
    <row r="67" spans="2:14" ht="15" thickBot="1">
      <c r="B67" s="990" t="s">
        <v>193</v>
      </c>
      <c r="C67" s="991"/>
      <c r="D67" s="991"/>
      <c r="E67" s="991"/>
      <c r="F67" s="991"/>
      <c r="G67" s="991"/>
      <c r="H67" s="991"/>
      <c r="I67" s="991"/>
      <c r="J67" s="991"/>
      <c r="K67" s="991"/>
      <c r="L67" s="1011"/>
      <c r="M67" s="341">
        <f>SUM(M65:M66)</f>
        <v>0</v>
      </c>
      <c r="N67" s="304">
        <f>SUM(N65:N66)</f>
        <v>0</v>
      </c>
    </row>
    <row r="68" spans="2:14" ht="7.5" customHeight="1" thickBot="1">
      <c r="B68" s="960"/>
      <c r="C68" s="960"/>
      <c r="D68" s="960"/>
      <c r="E68" s="960"/>
      <c r="F68" s="960"/>
      <c r="G68" s="960"/>
      <c r="H68" s="960"/>
      <c r="I68" s="960"/>
      <c r="J68" s="960"/>
      <c r="K68" s="960"/>
      <c r="L68" s="960"/>
      <c r="M68" s="960"/>
      <c r="N68" s="360"/>
    </row>
    <row r="69" spans="2:14">
      <c r="B69" s="1543" t="s">
        <v>194</v>
      </c>
      <c r="C69" s="1544"/>
      <c r="D69" s="1544"/>
      <c r="E69" s="1544"/>
      <c r="F69" s="961" t="s">
        <v>191</v>
      </c>
      <c r="G69" s="961"/>
      <c r="H69" s="961"/>
      <c r="I69" s="961"/>
      <c r="J69" s="961"/>
      <c r="K69" s="961"/>
      <c r="L69" s="961"/>
      <c r="M69" s="961"/>
      <c r="N69" s="468" t="s">
        <v>185</v>
      </c>
    </row>
    <row r="70" spans="2:14" ht="15" customHeight="1">
      <c r="B70" s="1111" t="str">
        <f>'Bdgt Yr 1'!B70</f>
        <v>5000BP</v>
      </c>
      <c r="C70" s="1112">
        <f>'Bdgt Yr 1'!C79</f>
        <v>0</v>
      </c>
      <c r="D70" s="1545" t="s">
        <v>196</v>
      </c>
      <c r="E70" s="1546"/>
      <c r="F70" s="1006"/>
      <c r="G70" s="1007"/>
      <c r="H70" s="1007"/>
      <c r="I70" s="1007"/>
      <c r="J70" s="1007"/>
      <c r="K70" s="1007"/>
      <c r="L70" s="1008"/>
      <c r="M70" s="469">
        <v>0</v>
      </c>
      <c r="N70" s="303">
        <f>'Cost-Share'!AM55</f>
        <v>0</v>
      </c>
    </row>
    <row r="71" spans="2:14" ht="15" customHeight="1">
      <c r="B71" s="1111" t="str">
        <f>'Bdgt Yr 1'!B71</f>
        <v>271410</v>
      </c>
      <c r="C71" s="1112">
        <f>'Bdgt Yr 1'!C80</f>
        <v>0</v>
      </c>
      <c r="D71" s="1539" t="s">
        <v>120</v>
      </c>
      <c r="E71" s="1548"/>
      <c r="F71" s="1006"/>
      <c r="G71" s="1007"/>
      <c r="H71" s="1007"/>
      <c r="I71" s="1007"/>
      <c r="J71" s="1007"/>
      <c r="K71" s="1007"/>
      <c r="L71" s="1008"/>
      <c r="M71" s="470">
        <v>0</v>
      </c>
      <c r="N71" s="303">
        <f>'Cost-Share'!AM56</f>
        <v>0</v>
      </c>
    </row>
    <row r="72" spans="2:14" ht="15" customHeight="1">
      <c r="B72" s="1111" t="str">
        <f>'Bdgt Yr 1'!B72</f>
        <v>218105</v>
      </c>
      <c r="C72" s="1112">
        <f>'Bdgt Yr 1'!C81</f>
        <v>0</v>
      </c>
      <c r="D72" s="1539" t="s">
        <v>199</v>
      </c>
      <c r="E72" s="1548"/>
      <c r="F72" s="1006"/>
      <c r="G72" s="1007"/>
      <c r="H72" s="1007"/>
      <c r="I72" s="1007"/>
      <c r="J72" s="1007"/>
      <c r="K72" s="1007"/>
      <c r="L72" s="1008"/>
      <c r="M72" s="61">
        <v>0</v>
      </c>
      <c r="N72" s="303">
        <f>'Cost-Share'!AM57</f>
        <v>0</v>
      </c>
    </row>
    <row r="73" spans="2:14" ht="15.75" customHeight="1" thickBot="1">
      <c r="B73" s="1111"/>
      <c r="C73" s="1112"/>
      <c r="D73" s="1541" t="s">
        <v>200</v>
      </c>
      <c r="E73" s="1542"/>
      <c r="F73" s="967"/>
      <c r="G73" s="968"/>
      <c r="H73" s="968"/>
      <c r="I73" s="968"/>
      <c r="J73" s="968"/>
      <c r="K73" s="968"/>
      <c r="L73" s="969"/>
      <c r="M73" s="470">
        <v>0</v>
      </c>
      <c r="N73" s="303">
        <f>'Cost-Share'!AM58</f>
        <v>0</v>
      </c>
    </row>
    <row r="74" spans="2:14" ht="15" thickBot="1">
      <c r="B74" s="990" t="s">
        <v>201</v>
      </c>
      <c r="C74" s="991"/>
      <c r="D74" s="991"/>
      <c r="E74" s="991"/>
      <c r="F74" s="991"/>
      <c r="G74" s="991"/>
      <c r="H74" s="991"/>
      <c r="I74" s="991"/>
      <c r="J74" s="991"/>
      <c r="K74" s="991"/>
      <c r="L74" s="1012"/>
      <c r="M74" s="342">
        <f>SUM(M70:M73)</f>
        <v>0</v>
      </c>
      <c r="N74" s="304">
        <f>SUM(N70:N73)</f>
        <v>0</v>
      </c>
    </row>
    <row r="75" spans="2:14" ht="7.5" customHeight="1" thickBot="1">
      <c r="B75" s="960"/>
      <c r="C75" s="960"/>
      <c r="D75" s="960"/>
      <c r="E75" s="960"/>
      <c r="F75" s="960"/>
      <c r="G75" s="960"/>
      <c r="H75" s="960"/>
      <c r="I75" s="960"/>
      <c r="J75" s="960"/>
      <c r="K75" s="960"/>
      <c r="L75" s="960"/>
      <c r="M75" s="960"/>
      <c r="N75" s="360"/>
    </row>
    <row r="76" spans="2:14">
      <c r="B76" s="1543" t="s">
        <v>202</v>
      </c>
      <c r="C76" s="1544"/>
      <c r="D76" s="1544"/>
      <c r="E76" s="1544"/>
      <c r="F76" s="1101" t="s">
        <v>203</v>
      </c>
      <c r="G76" s="1101"/>
      <c r="H76" s="1101"/>
      <c r="I76" s="1101"/>
      <c r="J76" s="1101"/>
      <c r="K76" s="1101"/>
      <c r="L76" s="1101"/>
      <c r="M76" s="1101"/>
      <c r="N76" s="468" t="s">
        <v>185</v>
      </c>
    </row>
    <row r="77" spans="2:14" ht="15" customHeight="1">
      <c r="B77" s="1122" t="s">
        <v>204</v>
      </c>
      <c r="C77" s="1123">
        <f>'Bdgt Yr 1'!C86</f>
        <v>0</v>
      </c>
      <c r="D77" s="1127" t="s">
        <v>205</v>
      </c>
      <c r="E77" s="1128"/>
      <c r="F77" s="1137" t="str">
        <f>T('Bdgt Yr 1'!F77:K77)</f>
        <v/>
      </c>
      <c r="G77" s="1138"/>
      <c r="H77" s="1138"/>
      <c r="I77" s="1138"/>
      <c r="J77" s="1138"/>
      <c r="K77" s="1139"/>
      <c r="L77" s="515">
        <f>IF('Bdgt Yr 1'!M77+'Bdgt Yr 2'!M77+'Bdgt Yr 3'!M77+M77&gt;=25000,MAX(25000-('Bdgt Yr 1'!M77+'Bdgt Yr 2'!M77+'Bdgt Yr 3'!M77),0), M77)</f>
        <v>0</v>
      </c>
      <c r="M77" s="469">
        <v>0</v>
      </c>
      <c r="N77" s="303">
        <f>'Cost-Share'!AM62</f>
        <v>0</v>
      </c>
    </row>
    <row r="78" spans="2:14" ht="15" customHeight="1">
      <c r="B78" s="1120" t="s">
        <v>204</v>
      </c>
      <c r="C78" s="1121">
        <f>'Bdgt Yr 1'!C87</f>
        <v>0</v>
      </c>
      <c r="D78" s="952" t="s">
        <v>205</v>
      </c>
      <c r="E78" s="953"/>
      <c r="F78" s="1108" t="str">
        <f>T('Bdgt Yr 1'!F78:K78)</f>
        <v/>
      </c>
      <c r="G78" s="1109"/>
      <c r="H78" s="1109"/>
      <c r="I78" s="1109"/>
      <c r="J78" s="1109"/>
      <c r="K78" s="1110"/>
      <c r="L78" s="515">
        <f>IF('Bdgt Yr 1'!M78+'Bdgt Yr 2'!M78+'Bdgt Yr 3'!M78+M78&gt;=25000,MAX(25000-('Bdgt Yr 1'!M78+'Bdgt Yr 2'!M78+'Bdgt Yr 3'!M78),0), M78)</f>
        <v>0</v>
      </c>
      <c r="M78" s="470">
        <v>0</v>
      </c>
      <c r="N78" s="303">
        <f>'Cost-Share'!AM63</f>
        <v>0</v>
      </c>
    </row>
    <row r="79" spans="2:14" ht="15" customHeight="1">
      <c r="B79" s="1120" t="s">
        <v>204</v>
      </c>
      <c r="C79" s="1121">
        <f>'Bdgt Yr 1'!C88</f>
        <v>0</v>
      </c>
      <c r="D79" s="952" t="s">
        <v>205</v>
      </c>
      <c r="E79" s="953"/>
      <c r="F79" s="1108" t="str">
        <f>T('Bdgt Yr 1'!F79:K79)</f>
        <v/>
      </c>
      <c r="G79" s="1109"/>
      <c r="H79" s="1109"/>
      <c r="I79" s="1109"/>
      <c r="J79" s="1109"/>
      <c r="K79" s="1110"/>
      <c r="L79" s="515">
        <f>IF('Bdgt Yr 1'!M79+'Bdgt Yr 2'!M79+'Bdgt Yr 3'!M79+M79&gt;=25000,MAX(25000-('Bdgt Yr 1'!M79+'Bdgt Yr 2'!M79+'Bdgt Yr 3'!M79),0), M79)</f>
        <v>0</v>
      </c>
      <c r="M79" s="61">
        <v>0</v>
      </c>
      <c r="N79" s="303">
        <f>'Cost-Share'!AM64</f>
        <v>0</v>
      </c>
    </row>
    <row r="80" spans="2:14" ht="15.75" customHeight="1" thickBot="1">
      <c r="B80" s="1122" t="s">
        <v>204</v>
      </c>
      <c r="C80" s="1123">
        <f>'Bdgt Yr 1'!C89</f>
        <v>0</v>
      </c>
      <c r="D80" s="954" t="s">
        <v>205</v>
      </c>
      <c r="E80" s="955"/>
      <c r="F80" s="1006" t="str">
        <f>T('Bdgt Yr 1'!F80:K80)</f>
        <v/>
      </c>
      <c r="G80" s="1007"/>
      <c r="H80" s="1007"/>
      <c r="I80" s="1007"/>
      <c r="J80" s="1007"/>
      <c r="K80" s="1007"/>
      <c r="L80" s="515">
        <f>IF('Bdgt Yr 1'!M80+'Bdgt Yr 2'!M80+'Bdgt Yr 3'!M80+M80&gt;=25000,MAX(25000-('Bdgt Yr 1'!M80+'Bdgt Yr 2'!M80+'Bdgt Yr 3'!M80),0), M80)</f>
        <v>0</v>
      </c>
      <c r="M80" s="470">
        <v>0</v>
      </c>
      <c r="N80" s="303">
        <f>'Cost-Share'!AM65</f>
        <v>0</v>
      </c>
    </row>
    <row r="81" spans="2:14" ht="15" thickBot="1">
      <c r="B81" s="990" t="s">
        <v>206</v>
      </c>
      <c r="C81" s="991"/>
      <c r="D81" s="991"/>
      <c r="E81" s="991"/>
      <c r="F81" s="991"/>
      <c r="G81" s="991"/>
      <c r="H81" s="991"/>
      <c r="I81" s="991"/>
      <c r="J81" s="991"/>
      <c r="K81" s="1062"/>
      <c r="L81" s="614">
        <f>SUM(L77:L80)</f>
        <v>0</v>
      </c>
      <c r="M81" s="342">
        <f>SUM(M77:M80)</f>
        <v>0</v>
      </c>
      <c r="N81" s="304">
        <f>SUM(N77:N80)</f>
        <v>0</v>
      </c>
    </row>
    <row r="82" spans="2:14" ht="7.5" customHeight="1" thickBot="1">
      <c r="B82" s="960"/>
      <c r="C82" s="960"/>
      <c r="D82" s="960"/>
      <c r="E82" s="960"/>
      <c r="F82" s="960"/>
      <c r="G82" s="960"/>
      <c r="H82" s="960"/>
      <c r="I82" s="960"/>
      <c r="J82" s="960"/>
      <c r="K82" s="960"/>
      <c r="L82" s="960"/>
      <c r="M82" s="960"/>
      <c r="N82" s="360"/>
    </row>
    <row r="83" spans="2:14">
      <c r="B83" s="1543" t="s">
        <v>207</v>
      </c>
      <c r="C83" s="1544"/>
      <c r="D83" s="1544"/>
      <c r="E83" s="1544"/>
      <c r="F83" s="961" t="s">
        <v>191</v>
      </c>
      <c r="G83" s="961"/>
      <c r="H83" s="961"/>
      <c r="I83" s="961"/>
      <c r="J83" s="961"/>
      <c r="K83" s="961"/>
      <c r="L83" s="961"/>
      <c r="M83" s="961"/>
      <c r="N83" s="468" t="s">
        <v>185</v>
      </c>
    </row>
    <row r="84" spans="2:14" ht="15" customHeight="1">
      <c r="B84" s="1111" t="str">
        <f>'Bdgt Yr 1'!B84</f>
        <v>271410</v>
      </c>
      <c r="C84" s="1112">
        <f>'Bdgt Yr 1'!C109</f>
        <v>0</v>
      </c>
      <c r="D84" s="1545" t="s">
        <v>208</v>
      </c>
      <c r="E84" s="1546"/>
      <c r="F84" s="1006"/>
      <c r="G84" s="1007"/>
      <c r="H84" s="1007"/>
      <c r="I84" s="1007"/>
      <c r="J84" s="1007"/>
      <c r="K84" s="1007"/>
      <c r="L84" s="1008"/>
      <c r="M84" s="469">
        <v>0</v>
      </c>
      <c r="N84" s="303">
        <f>'Cost-Share'!AM69</f>
        <v>0</v>
      </c>
    </row>
    <row r="85" spans="2:14" ht="15" customHeight="1" thickBot="1">
      <c r="B85" s="1111" t="str">
        <f>'Bdgt Yr 1'!B85</f>
        <v>271933</v>
      </c>
      <c r="C85" s="1112">
        <f>'Bdgt Yr 1'!C110</f>
        <v>0</v>
      </c>
      <c r="D85" s="1541" t="s">
        <v>210</v>
      </c>
      <c r="E85" s="1542"/>
      <c r="F85" s="967"/>
      <c r="G85" s="968"/>
      <c r="H85" s="968"/>
      <c r="I85" s="968"/>
      <c r="J85" s="968"/>
      <c r="K85" s="968"/>
      <c r="L85" s="969"/>
      <c r="M85" s="61">
        <v>0</v>
      </c>
      <c r="N85" s="303">
        <f>'Cost-Share'!AM70</f>
        <v>0</v>
      </c>
    </row>
    <row r="86" spans="2:14" ht="15" thickBot="1">
      <c r="B86" s="990" t="s">
        <v>211</v>
      </c>
      <c r="C86" s="991"/>
      <c r="D86" s="991"/>
      <c r="E86" s="991"/>
      <c r="F86" s="991"/>
      <c r="G86" s="991"/>
      <c r="H86" s="991"/>
      <c r="I86" s="991"/>
      <c r="J86" s="991"/>
      <c r="K86" s="991"/>
      <c r="L86" s="1011"/>
      <c r="M86" s="341">
        <f>SUM(M84:M85)</f>
        <v>0</v>
      </c>
      <c r="N86" s="304">
        <f>SUM(N84:N85)</f>
        <v>0</v>
      </c>
    </row>
    <row r="87" spans="2:14" ht="7.5" customHeight="1" thickBot="1">
      <c r="B87" s="960"/>
      <c r="C87" s="960"/>
      <c r="D87" s="960"/>
      <c r="E87" s="960"/>
      <c r="F87" s="960"/>
      <c r="G87" s="960"/>
      <c r="H87" s="960"/>
      <c r="I87" s="960"/>
      <c r="J87" s="960"/>
      <c r="K87" s="960"/>
      <c r="L87" s="960"/>
      <c r="M87" s="960"/>
      <c r="N87" s="360"/>
    </row>
    <row r="88" spans="2:14">
      <c r="B88" s="1050" t="s">
        <v>212</v>
      </c>
      <c r="C88" s="989"/>
      <c r="D88" s="989"/>
      <c r="E88" s="989"/>
      <c r="F88" s="961" t="s">
        <v>191</v>
      </c>
      <c r="G88" s="961"/>
      <c r="H88" s="961"/>
      <c r="I88" s="961"/>
      <c r="J88" s="961"/>
      <c r="K88" s="961"/>
      <c r="L88" s="961"/>
      <c r="M88" s="961"/>
      <c r="N88" s="468" t="s">
        <v>185</v>
      </c>
    </row>
    <row r="89" spans="2:14" ht="15" customHeight="1">
      <c r="B89" s="972" t="str">
        <f>'Bdgt Yr 1'!B89</f>
        <v>3000BP</v>
      </c>
      <c r="C89" s="973"/>
      <c r="D89" s="956" t="str">
        <f>IF(ISERROR(VLOOKUP(B89,Constants!$X$2:AA$473,1,FALSE)),"No Match",VLOOKUP('Bdgt Yr 1'!B89,Constants!$X$2:$AA$473,4,FALSE))</f>
        <v>Materials and Supplies</v>
      </c>
      <c r="E89" s="957"/>
      <c r="F89" s="1006"/>
      <c r="G89" s="1007"/>
      <c r="H89" s="1007"/>
      <c r="I89" s="1007"/>
      <c r="J89" s="1007"/>
      <c r="K89" s="1007"/>
      <c r="L89" s="1008"/>
      <c r="M89" s="134">
        <v>0</v>
      </c>
      <c r="N89" s="303">
        <f>'Cost-Share'!AM74</f>
        <v>0</v>
      </c>
    </row>
    <row r="90" spans="2:14" ht="15" customHeight="1">
      <c r="B90" s="970">
        <f>'Bdgt Yr 1'!B90</f>
        <v>583010</v>
      </c>
      <c r="C90" s="971"/>
      <c r="D90" s="948" t="str">
        <f>IF(ISERROR(VLOOKUP(B90,Constants!$X$2:AA$473,1,FALSE)),"No Match",VLOOKUP('Bdgt Yr 1'!B90,Constants!$X$2:$AA$473,4,FALSE))</f>
        <v>Subscriptions and Publication Costs</v>
      </c>
      <c r="E90" s="949"/>
      <c r="F90" s="1006"/>
      <c r="G90" s="1007"/>
      <c r="H90" s="1007"/>
      <c r="I90" s="1007"/>
      <c r="J90" s="1007"/>
      <c r="K90" s="1007"/>
      <c r="L90" s="1008"/>
      <c r="M90" s="134">
        <v>0</v>
      </c>
      <c r="N90" s="303">
        <f>'Cost-Share'!AM75</f>
        <v>0</v>
      </c>
    </row>
    <row r="91" spans="2:14" ht="15" customHeight="1">
      <c r="B91" s="970">
        <f>'Bdgt Yr 1'!B91</f>
        <v>311010</v>
      </c>
      <c r="C91" s="971"/>
      <c r="D91" s="948" t="str">
        <f>IF(ISERROR(VLOOKUP(B91,Constants!$X$2:AA$473,1,FALSE)),"No Match",VLOOKUP('Bdgt Yr 1'!B91,Constants!$X$2:$AA$473,4,FALSE))</f>
        <v xml:space="preserve">Office Supplies     </v>
      </c>
      <c r="E91" s="949"/>
      <c r="F91" s="1006"/>
      <c r="G91" s="1007"/>
      <c r="H91" s="1007"/>
      <c r="I91" s="1007"/>
      <c r="J91" s="1007"/>
      <c r="K91" s="1007"/>
      <c r="L91" s="1008"/>
      <c r="M91" s="134">
        <v>0</v>
      </c>
      <c r="N91" s="303">
        <f>'Cost-Share'!AM76</f>
        <v>0</v>
      </c>
    </row>
    <row r="92" spans="2:14" ht="15" customHeight="1">
      <c r="B92" s="970">
        <f>'Bdgt Yr 1'!B92</f>
        <v>293054</v>
      </c>
      <c r="C92" s="971"/>
      <c r="D92" s="948" t="str">
        <f>IF(ISERROR(VLOOKUP(B92,Constants!$X$2:AA$473,1,FALSE)),"No Match",VLOOKUP('Bdgt Yr 1'!B92,Constants!$X$2:$AA$473,4,FALSE))</f>
        <v>Registration Fees</v>
      </c>
      <c r="E92" s="949"/>
      <c r="F92" s="1006"/>
      <c r="G92" s="1007"/>
      <c r="H92" s="1007"/>
      <c r="I92" s="1007"/>
      <c r="J92" s="1007"/>
      <c r="K92" s="1007"/>
      <c r="L92" s="1008"/>
      <c r="M92" s="134">
        <v>0</v>
      </c>
      <c r="N92" s="303">
        <f>'Cost-Share'!AM77</f>
        <v>0</v>
      </c>
    </row>
    <row r="93" spans="2:14" ht="15" customHeight="1">
      <c r="B93" s="970">
        <f>'Bdgt Yr 1'!B93</f>
        <v>281120</v>
      </c>
      <c r="C93" s="971"/>
      <c r="D93" s="948" t="str">
        <f>IF(ISERROR(VLOOKUP(B93,Constants!$X$2:AA$473,1,FALSE)),"No Match",VLOOKUP('Bdgt Yr 1'!B93,Constants!$X$2:$AA$473,4,FALSE))</f>
        <v>Telephone Services</v>
      </c>
      <c r="E93" s="949"/>
      <c r="F93" s="1006"/>
      <c r="G93" s="1007"/>
      <c r="H93" s="1007"/>
      <c r="I93" s="1007"/>
      <c r="J93" s="1007"/>
      <c r="K93" s="1007"/>
      <c r="L93" s="1008"/>
      <c r="M93" s="134">
        <v>0</v>
      </c>
      <c r="N93" s="303">
        <f>'Cost-Share'!AM78</f>
        <v>0</v>
      </c>
    </row>
    <row r="94" spans="2:14" ht="15" customHeight="1">
      <c r="B94" s="970" t="str">
        <f>'Bdgt Yr 1'!B94</f>
        <v>2100BP</v>
      </c>
      <c r="C94" s="971"/>
      <c r="D94" s="948" t="str">
        <f>IF(ISERROR(VLOOKUP(B94,Constants!$X$2:AA$473,1,FALSE)),"No Match",VLOOKUP('Bdgt Yr 1'!B94,Constants!$X$2:$AA$473,4,FALSE))</f>
        <v>Contracted Services Pool</v>
      </c>
      <c r="E94" s="949"/>
      <c r="F94" s="1006"/>
      <c r="G94" s="1007"/>
      <c r="H94" s="1007"/>
      <c r="I94" s="1007"/>
      <c r="J94" s="1007"/>
      <c r="K94" s="1007"/>
      <c r="L94" s="1008"/>
      <c r="M94" s="134">
        <v>0</v>
      </c>
      <c r="N94" s="303">
        <f>'Cost-Share'!AM79</f>
        <v>0</v>
      </c>
    </row>
    <row r="95" spans="2:14" ht="15" customHeight="1">
      <c r="B95" s="970">
        <f>'Bdgt Yr 1'!B95</f>
        <v>219250</v>
      </c>
      <c r="C95" s="971"/>
      <c r="D95" s="948" t="str">
        <f>IF(ISERROR(VLOOKUP(B95,Constants!$X$2:AA$473,1,FALSE)),"No Match",VLOOKUP('Bdgt Yr 1'!B95,Constants!$X$2:$AA$473,4,FALSE))</f>
        <v xml:space="preserve">Honorariums         </v>
      </c>
      <c r="E95" s="949"/>
      <c r="F95" s="1006"/>
      <c r="G95" s="1007"/>
      <c r="H95" s="1007"/>
      <c r="I95" s="1007"/>
      <c r="J95" s="1007"/>
      <c r="K95" s="1007"/>
      <c r="L95" s="1008"/>
      <c r="M95" s="134">
        <v>0</v>
      </c>
      <c r="N95" s="303">
        <f>'Cost-Share'!AM80</f>
        <v>0</v>
      </c>
    </row>
    <row r="96" spans="2:14" ht="15" customHeight="1">
      <c r="B96" s="970">
        <f>'Bdgt Yr 1'!B96</f>
        <v>286010</v>
      </c>
      <c r="C96" s="971"/>
      <c r="D96" s="948" t="str">
        <f>IF(ISERROR(VLOOKUP(B96,Constants!$X$2:AA$473,1,FALSE)),"No Match",VLOOKUP('Bdgt Yr 1'!B96,Constants!$X$2:$AA$473,4,FALSE))</f>
        <v>Advertising</v>
      </c>
      <c r="E96" s="949"/>
      <c r="F96" s="1006"/>
      <c r="G96" s="1007"/>
      <c r="H96" s="1007"/>
      <c r="I96" s="1007"/>
      <c r="J96" s="1007"/>
      <c r="K96" s="1007"/>
      <c r="L96" s="1008"/>
      <c r="M96" s="134">
        <v>0</v>
      </c>
      <c r="N96" s="303">
        <f>'Cost-Share'!AM81</f>
        <v>0</v>
      </c>
    </row>
    <row r="97" spans="2:14" ht="15" customHeight="1">
      <c r="B97" s="970">
        <f>'Bdgt Yr 1'!B97</f>
        <v>282610</v>
      </c>
      <c r="C97" s="971"/>
      <c r="D97" s="948" t="str">
        <f>IF(ISERROR(VLOOKUP(B97,Constants!$X$2:AA$473,1,FALSE)),"No Match",VLOOKUP('Bdgt Yr 1'!B97,Constants!$X$2:$AA$473,4,FALSE))</f>
        <v>Software Subscriptions</v>
      </c>
      <c r="E97" s="949"/>
      <c r="F97" s="1006"/>
      <c r="G97" s="1007"/>
      <c r="H97" s="1007"/>
      <c r="I97" s="1007"/>
      <c r="J97" s="1007"/>
      <c r="K97" s="1007"/>
      <c r="L97" s="1008"/>
      <c r="M97" s="134">
        <v>0</v>
      </c>
      <c r="N97" s="303">
        <f>'Cost-Share'!AM82</f>
        <v>0</v>
      </c>
    </row>
    <row r="98" spans="2:14" ht="15" customHeight="1">
      <c r="B98" s="970">
        <f>'Bdgt Yr 1'!B98</f>
        <v>583020</v>
      </c>
      <c r="C98" s="971"/>
      <c r="D98" s="948" t="str">
        <f>IF(ISERROR(VLOOKUP(B98,Constants!$X$2:AA$473,1,FALSE)),"No Match",VLOOKUP('Bdgt Yr 1'!B98,Constants!$X$2:$AA$473,4,FALSE))</f>
        <v>Membership Dues</v>
      </c>
      <c r="E98" s="949"/>
      <c r="F98" s="1006"/>
      <c r="G98" s="1007"/>
      <c r="H98" s="1007"/>
      <c r="I98" s="1007"/>
      <c r="J98" s="1007"/>
      <c r="K98" s="1007"/>
      <c r="L98" s="1008"/>
      <c r="M98" s="134">
        <v>0</v>
      </c>
      <c r="N98" s="303">
        <f>'Cost-Share'!AM83</f>
        <v>0</v>
      </c>
    </row>
    <row r="99" spans="2:14" ht="15" customHeight="1">
      <c r="B99" s="970">
        <f>'Bdgt Yr 1'!B99</f>
        <v>284010</v>
      </c>
      <c r="C99" s="971"/>
      <c r="D99" s="948" t="str">
        <f>IF(ISERROR(VLOOKUP(B99,Constants!$X$2:AA$473,1,FALSE)),"No Match",VLOOKUP('Bdgt Yr 1'!B99,Constants!$X$2:$AA$473,4,FALSE))</f>
        <v>Postage</v>
      </c>
      <c r="E99" s="949"/>
      <c r="F99" s="1006"/>
      <c r="G99" s="1007"/>
      <c r="H99" s="1007"/>
      <c r="I99" s="1007"/>
      <c r="J99" s="1007"/>
      <c r="K99" s="1007"/>
      <c r="L99" s="1008"/>
      <c r="M99" s="134">
        <v>0</v>
      </c>
      <c r="N99" s="303">
        <f>'Cost-Share'!AM84</f>
        <v>0</v>
      </c>
    </row>
    <row r="100" spans="2:14" ht="15" customHeight="1">
      <c r="B100" s="970">
        <f>'Bdgt Yr 1'!B100</f>
        <v>284040</v>
      </c>
      <c r="C100" s="971"/>
      <c r="D100" s="948" t="str">
        <f>IF(ISERROR(VLOOKUP(B100,Constants!$X$2:AA$473,1,FALSE)),"No Match",VLOOKUP('Bdgt Yr 1'!B100,Constants!$X$2:$AA$473,4,FALSE))</f>
        <v>Freight/Delivery Services</v>
      </c>
      <c r="E100" s="949"/>
      <c r="F100" s="1006"/>
      <c r="G100" s="1007"/>
      <c r="H100" s="1007"/>
      <c r="I100" s="1007"/>
      <c r="J100" s="1007"/>
      <c r="K100" s="1007"/>
      <c r="L100" s="1008"/>
      <c r="M100" s="134">
        <v>0</v>
      </c>
      <c r="N100" s="303">
        <f>'Cost-Share'!AM85</f>
        <v>0</v>
      </c>
    </row>
    <row r="101" spans="2:14" ht="15" customHeight="1">
      <c r="B101" s="970">
        <f>'Bdgt Yr 1'!B101</f>
        <v>285010</v>
      </c>
      <c r="C101" s="971"/>
      <c r="D101" s="948" t="str">
        <f>IF(ISERROR(VLOOKUP(B101,Constants!$X$2:AA$473,1,FALSE)),"No Match",VLOOKUP('Bdgt Yr 1'!B101,Constants!$X$2:$AA$473,4,FALSE))</f>
        <v>Printing And Binding</v>
      </c>
      <c r="E101" s="949"/>
      <c r="F101" s="1006"/>
      <c r="G101" s="1007"/>
      <c r="H101" s="1007"/>
      <c r="I101" s="1007"/>
      <c r="J101" s="1007"/>
      <c r="K101" s="1007"/>
      <c r="L101" s="1008"/>
      <c r="M101" s="134">
        <v>0</v>
      </c>
      <c r="N101" s="303">
        <f>'Cost-Share'!AM86</f>
        <v>0</v>
      </c>
    </row>
    <row r="102" spans="2:14" ht="15" customHeight="1">
      <c r="B102" s="970">
        <f>'Bdgt Yr 1'!B102</f>
        <v>453410</v>
      </c>
      <c r="C102" s="971"/>
      <c r="D102" s="948" t="str">
        <f>IF(ISERROR(VLOOKUP(B102,Constants!$X$2:AA$473,1,FALSE)),"No Match",VLOOKUP('Bdgt Yr 1'!B102,Constants!$X$2:$AA$473,4,FALSE))</f>
        <v>Computer &amp; Printer Purchase Less Than $5,000 - Add $130/Year/Device for IT Services</v>
      </c>
      <c r="E102" s="949"/>
      <c r="F102" s="1006"/>
      <c r="G102" s="1007"/>
      <c r="H102" s="1007"/>
      <c r="I102" s="1007"/>
      <c r="J102" s="1007"/>
      <c r="K102" s="1007"/>
      <c r="L102" s="1008"/>
      <c r="M102" s="134">
        <v>0</v>
      </c>
      <c r="N102" s="303">
        <f>'Cost-Share'!AM87</f>
        <v>0</v>
      </c>
    </row>
    <row r="103" spans="2:14" ht="15" customHeight="1">
      <c r="B103" s="970">
        <f>'Bdgt Yr 1'!B103</f>
        <v>471310</v>
      </c>
      <c r="C103" s="971"/>
      <c r="D103" s="1549" t="str">
        <f>IF(ISERROR(VLOOKUP(B103,Constants!$X$2:AA$473,1,FALSE)),"No Match",VLOOKUP('Bdgt Yr 1'!B103,Constants!$X$2:$AA$473,4,FALSE))</f>
        <v>PC Software Purchase</v>
      </c>
      <c r="E103" s="1550"/>
      <c r="F103" s="1006"/>
      <c r="G103" s="1007"/>
      <c r="H103" s="1007"/>
      <c r="I103" s="1007"/>
      <c r="J103" s="1007"/>
      <c r="K103" s="1007"/>
      <c r="L103" s="1008"/>
      <c r="M103" s="134">
        <v>0</v>
      </c>
      <c r="N103" s="303">
        <f>'Cost-Share'!AM88</f>
        <v>0</v>
      </c>
    </row>
    <row r="104" spans="2:14" ht="15" customHeight="1">
      <c r="B104" s="970">
        <f>'Bdgt Yr 1'!B104</f>
        <v>218105</v>
      </c>
      <c r="C104" s="971"/>
      <c r="D104" s="1549" t="str">
        <f>IF(ISERROR(VLOOKUP(B104,Constants!$X$2:AA$473,1,FALSE)),"No Match",VLOOKUP('Bdgt Yr 1'!B104,Constants!$X$2:$AA$473,4,FALSE))</f>
        <v>Contract Food Services</v>
      </c>
      <c r="E104" s="1550"/>
      <c r="F104" s="1006"/>
      <c r="G104" s="1007"/>
      <c r="H104" s="1007"/>
      <c r="I104" s="1007"/>
      <c r="J104" s="1007"/>
      <c r="K104" s="1007"/>
      <c r="L104" s="1008"/>
      <c r="M104" s="134">
        <v>0</v>
      </c>
      <c r="N104" s="303">
        <f>'Cost-Share'!AM89</f>
        <v>0</v>
      </c>
    </row>
    <row r="105" spans="2:14" ht="15" customHeight="1">
      <c r="B105" s="970">
        <f>'Bdgt Yr 1'!B105</f>
        <v>218106</v>
      </c>
      <c r="C105" s="971"/>
      <c r="D105" s="1549" t="str">
        <f>IF(ISERROR(VLOOKUP(B105,Constants!$X$2:AA$473,1,FALSE)),"No Match",VLOOKUP('Bdgt Yr 1'!B105,Constants!$X$2:$AA$473,4,FALSE))</f>
        <v>Food Services for Conferences</v>
      </c>
      <c r="E105" s="1550"/>
      <c r="F105" s="1006"/>
      <c r="G105" s="1007"/>
      <c r="H105" s="1007"/>
      <c r="I105" s="1007"/>
      <c r="J105" s="1007"/>
      <c r="K105" s="1007"/>
      <c r="L105" s="1008"/>
      <c r="M105" s="134">
        <v>0</v>
      </c>
      <c r="N105" s="303">
        <f>'Cost-Share'!AM90</f>
        <v>0</v>
      </c>
    </row>
    <row r="106" spans="2:14" ht="15" customHeight="1">
      <c r="B106" s="970">
        <f>'Bdgt Yr 1'!B106</f>
        <v>341010</v>
      </c>
      <c r="C106" s="971"/>
      <c r="D106" s="1549" t="str">
        <f>IF(ISERROR(VLOOKUP(B106,Constants!$X$2:AA$473,1,FALSE)),"No Match",VLOOKUP('Bdgt Yr 1'!B106,Constants!$X$2:$AA$473,4,FALSE))</f>
        <v xml:space="preserve">Purchase of Food Products       </v>
      </c>
      <c r="E106" s="1550"/>
      <c r="F106" s="1006"/>
      <c r="G106" s="1007"/>
      <c r="H106" s="1007"/>
      <c r="I106" s="1007"/>
      <c r="J106" s="1007"/>
      <c r="K106" s="1007"/>
      <c r="L106" s="1008"/>
      <c r="M106" s="134">
        <v>0</v>
      </c>
      <c r="N106" s="303">
        <f>'Cost-Share'!AM91</f>
        <v>0</v>
      </c>
    </row>
    <row r="107" spans="2:14" ht="15" customHeight="1">
      <c r="B107" s="970">
        <f>'Bdgt Yr 1'!B107</f>
        <v>251210</v>
      </c>
      <c r="C107" s="971"/>
      <c r="D107" s="1549" t="str">
        <f>IF(ISERROR(VLOOKUP(B107,Constants!$X$2:AA$473,1,FALSE)),"No Match",VLOOKUP('Bdgt Yr 1'!B107,Constants!$X$2:$AA$473,4,FALSE))</f>
        <v>Rent/Lease Building/Office Space</v>
      </c>
      <c r="E107" s="1550"/>
      <c r="F107" s="1006"/>
      <c r="G107" s="1007"/>
      <c r="H107" s="1007"/>
      <c r="I107" s="1007"/>
      <c r="J107" s="1007"/>
      <c r="K107" s="1007"/>
      <c r="L107" s="1008"/>
      <c r="M107" s="134">
        <v>0</v>
      </c>
      <c r="N107" s="303">
        <f>'Cost-Share'!AM92</f>
        <v>0</v>
      </c>
    </row>
    <row r="108" spans="2:14" ht="15" customHeight="1">
      <c r="B108" s="970">
        <f>'Bdgt Yr 1'!B108</f>
        <v>251310</v>
      </c>
      <c r="C108" s="971"/>
      <c r="D108" s="1549" t="str">
        <f>IF(ISERROR(VLOOKUP(B108,Constants!$X$2:AA$473,1,FALSE)),"No Match",VLOOKUP('Bdgt Yr 1'!B108,Constants!$X$2:$AA$473,4,FALSE))</f>
        <v>Rent/Lease Other Facilities</v>
      </c>
      <c r="E108" s="1550"/>
      <c r="F108" s="1006"/>
      <c r="G108" s="1007"/>
      <c r="H108" s="1007"/>
      <c r="I108" s="1007"/>
      <c r="J108" s="1007"/>
      <c r="K108" s="1007"/>
      <c r="L108" s="1008"/>
      <c r="M108" s="134">
        <v>0</v>
      </c>
      <c r="N108" s="303">
        <f>'Cost-Share'!AM93</f>
        <v>0</v>
      </c>
    </row>
    <row r="109" spans="2:14" ht="15" customHeight="1">
      <c r="B109" s="970">
        <f>'Bdgt Yr 1'!B109</f>
        <v>251320</v>
      </c>
      <c r="C109" s="971"/>
      <c r="D109" s="1549" t="str">
        <f>IF(ISERROR(VLOOKUP(B109,Constants!$X$2:AA$473,1,FALSE)),"No Match",VLOOKUP('Bdgt Yr 1'!B109,Constants!$X$2:$AA$473,4,FALSE))</f>
        <v>Room Rental for Conferences</v>
      </c>
      <c r="E109" s="1550"/>
      <c r="F109" s="1006"/>
      <c r="G109" s="1007"/>
      <c r="H109" s="1007"/>
      <c r="I109" s="1007"/>
      <c r="J109" s="1007"/>
      <c r="K109" s="1007"/>
      <c r="L109" s="1008"/>
      <c r="M109" s="134">
        <v>0</v>
      </c>
      <c r="N109" s="303">
        <f>'Cost-Share'!AM94</f>
        <v>0</v>
      </c>
    </row>
    <row r="110" spans="2:14" ht="15" customHeight="1">
      <c r="B110" s="970">
        <f>'Bdgt Yr 1'!B110</f>
        <v>252110</v>
      </c>
      <c r="C110" s="971"/>
      <c r="D110" s="1549" t="str">
        <f>IF(ISERROR(VLOOKUP(B110,Constants!$X$2:AA$473,1,FALSE)),"No Match",VLOOKUP('Bdgt Yr 1'!B110,Constants!$X$2:$AA$473,4,FALSE))</f>
        <v>Rent/Lease Motor Vehicle</v>
      </c>
      <c r="E110" s="1550"/>
      <c r="F110" s="1006"/>
      <c r="G110" s="1007"/>
      <c r="H110" s="1007"/>
      <c r="I110" s="1007"/>
      <c r="J110" s="1007"/>
      <c r="K110" s="1007"/>
      <c r="L110" s="1008"/>
      <c r="M110" s="134">
        <v>0</v>
      </c>
      <c r="N110" s="303">
        <f>'Cost-Share'!AM95</f>
        <v>0</v>
      </c>
    </row>
    <row r="111" spans="2:14" ht="14.25" customHeight="1">
      <c r="B111" s="970">
        <f>'Bdgt Yr 1'!B111</f>
        <v>219912</v>
      </c>
      <c r="C111" s="971"/>
      <c r="D111" s="1549" t="str">
        <f>IF(ISERROR(VLOOKUP(B111,Constants!$X$2:AA$473,1,FALSE)),"No Match",VLOOKUP('Bdgt Yr 1'!B111,Constants!$X$2:$AA$473,4,FALSE))</f>
        <v>Research Participant Payments/Incentives</v>
      </c>
      <c r="E111" s="1550"/>
      <c r="F111" s="963"/>
      <c r="G111" s="964"/>
      <c r="H111" s="964"/>
      <c r="I111" s="964"/>
      <c r="J111" s="964"/>
      <c r="K111" s="964"/>
      <c r="L111" s="1143"/>
      <c r="M111" s="134">
        <v>0</v>
      </c>
      <c r="N111" s="303">
        <f>'Cost-Share'!AM96</f>
        <v>0</v>
      </c>
    </row>
    <row r="112" spans="2:14" ht="15.75" customHeight="1" thickBot="1">
      <c r="B112" s="970">
        <f>'Bdgt Yr 1'!B112</f>
        <v>584037</v>
      </c>
      <c r="C112" s="971"/>
      <c r="D112" s="1551" t="str">
        <f>IF(ISERROR(VLOOKUP(B112,Constants!$X$2:AA$473,1,FALSE)),"No Match",VLOOKUP('Bdgt Yr 1'!B112,Constants!$X$2:$AA$473,4,FALSE))</f>
        <v>Gift Cards--NON Employee Only</v>
      </c>
      <c r="E112" s="1552"/>
      <c r="F112" s="963"/>
      <c r="G112" s="964"/>
      <c r="H112" s="964"/>
      <c r="I112" s="964"/>
      <c r="J112" s="964"/>
      <c r="K112" s="964"/>
      <c r="L112" s="1143"/>
      <c r="M112" s="134">
        <v>0</v>
      </c>
      <c r="N112" s="303">
        <f>'Cost-Share'!AM97</f>
        <v>0</v>
      </c>
    </row>
    <row r="113" spans="2:21" ht="15" thickBot="1">
      <c r="B113" s="1553" t="s">
        <v>215</v>
      </c>
      <c r="C113" s="1554"/>
      <c r="D113" s="1554"/>
      <c r="E113" s="1554"/>
      <c r="F113" s="1554"/>
      <c r="G113" s="1554"/>
      <c r="H113" s="1554"/>
      <c r="I113" s="1554"/>
      <c r="J113" s="1554"/>
      <c r="K113" s="1554"/>
      <c r="L113" s="1555"/>
      <c r="M113" s="236">
        <f>SUM(M89:M112)</f>
        <v>0</v>
      </c>
      <c r="N113" s="273">
        <f>SUM(N89:N112)</f>
        <v>0</v>
      </c>
    </row>
    <row r="114" spans="2:21" ht="7.5" customHeight="1" thickBot="1">
      <c r="B114" s="1021"/>
      <c r="C114" s="1022"/>
      <c r="D114" s="1022"/>
      <c r="E114" s="1022"/>
      <c r="F114" s="1022"/>
      <c r="G114" s="1022"/>
      <c r="H114" s="1022"/>
      <c r="I114" s="1022"/>
      <c r="J114" s="1022"/>
      <c r="K114" s="1022"/>
      <c r="L114" s="1022"/>
      <c r="M114" s="1022"/>
      <c r="N114" s="1023"/>
    </row>
    <row r="115" spans="2:21" ht="15" thickBot="1">
      <c r="B115" s="996" t="s">
        <v>216</v>
      </c>
      <c r="C115" s="997"/>
      <c r="D115" s="997"/>
      <c r="E115" s="997"/>
      <c r="F115" s="997"/>
      <c r="G115" s="997"/>
      <c r="H115" s="997"/>
      <c r="I115" s="997"/>
      <c r="J115" s="997"/>
      <c r="K115" s="997"/>
      <c r="L115" s="1018"/>
      <c r="M115" s="236">
        <f>+M54+M67+M86+M74+M113+M62</f>
        <v>0</v>
      </c>
      <c r="N115" s="304">
        <f>'Cost-Share'!AM100</f>
        <v>0</v>
      </c>
    </row>
    <row r="116" spans="2:21" ht="7.5" customHeight="1" thickBot="1">
      <c r="B116" s="1021"/>
      <c r="C116" s="1022"/>
      <c r="D116" s="1022"/>
      <c r="E116" s="1022"/>
      <c r="F116" s="1022"/>
      <c r="G116" s="1022"/>
      <c r="H116" s="1022"/>
      <c r="I116" s="1022"/>
      <c r="J116" s="1022"/>
      <c r="K116" s="1022"/>
      <c r="L116" s="1022"/>
      <c r="M116" s="1022"/>
      <c r="N116" s="1023"/>
    </row>
    <row r="117" spans="2:21" ht="15" thickBot="1">
      <c r="B117" s="1055" t="s">
        <v>217</v>
      </c>
      <c r="C117" s="1056"/>
      <c r="D117" s="1056"/>
      <c r="E117" s="1056"/>
      <c r="F117" s="1056"/>
      <c r="G117" s="1056"/>
      <c r="H117" s="1056"/>
      <c r="I117" s="1056"/>
      <c r="J117" s="1056"/>
      <c r="K117" s="1056"/>
      <c r="L117" s="1057"/>
      <c r="M117" s="236">
        <f>M62+M67+M74+M81-L81</f>
        <v>0</v>
      </c>
      <c r="N117" s="304">
        <f>'Cost-Share'!AM102</f>
        <v>0</v>
      </c>
    </row>
    <row r="118" spans="2:21" ht="7.5" customHeight="1">
      <c r="B118" s="513"/>
      <c r="C118" s="514"/>
      <c r="D118" s="514"/>
      <c r="E118" s="514"/>
      <c r="F118" s="514"/>
      <c r="G118" s="514"/>
      <c r="H118" s="514"/>
      <c r="I118" s="514"/>
      <c r="J118" s="514"/>
      <c r="K118" s="514"/>
      <c r="L118" s="514"/>
      <c r="M118" s="514"/>
      <c r="N118" s="147"/>
      <c r="R118" s="480"/>
      <c r="S118" s="480"/>
      <c r="T118" s="480"/>
      <c r="U118" s="480"/>
    </row>
    <row r="119" spans="2:21" ht="14.45" customHeight="1">
      <c r="B119" s="1048" t="s">
        <v>218</v>
      </c>
      <c r="C119" s="997"/>
      <c r="D119" s="997"/>
      <c r="E119" s="997"/>
      <c r="F119" s="997"/>
      <c r="G119" s="474" t="s">
        <v>219</v>
      </c>
      <c r="H119" s="475">
        <f>'Bdgt Yr 1'!H119</f>
        <v>0.47599999999999998</v>
      </c>
      <c r="I119" s="476"/>
      <c r="J119" s="477" t="s">
        <v>220</v>
      </c>
      <c r="K119" s="478">
        <f>M115-M117</f>
        <v>0</v>
      </c>
      <c r="L119" s="479"/>
      <c r="M119" s="236">
        <f>ROUNDUP(H119*K119,0)</f>
        <v>0</v>
      </c>
      <c r="N119" s="304">
        <f>'Cost-Share'!AM104</f>
        <v>0</v>
      </c>
      <c r="R119" s="480"/>
      <c r="S119" s="480"/>
      <c r="T119" s="480"/>
      <c r="U119" s="480"/>
    </row>
    <row r="120" spans="2:21" ht="7.5" customHeight="1">
      <c r="B120" s="1021"/>
      <c r="C120" s="1022"/>
      <c r="D120" s="1022"/>
      <c r="E120" s="1022"/>
      <c r="F120" s="1022"/>
      <c r="G120" s="1022"/>
      <c r="H120" s="1022"/>
      <c r="I120" s="1022"/>
      <c r="J120" s="1022"/>
      <c r="K120" s="1022"/>
      <c r="L120" s="1022"/>
      <c r="M120" s="1022"/>
      <c r="N120" s="1023"/>
      <c r="R120" s="480"/>
      <c r="S120" s="480"/>
      <c r="T120" s="480"/>
      <c r="U120" s="480"/>
    </row>
    <row r="121" spans="2:21" ht="15" customHeight="1" thickBot="1">
      <c r="B121" s="996" t="s">
        <v>221</v>
      </c>
      <c r="C121" s="997"/>
      <c r="D121" s="997"/>
      <c r="E121" s="997"/>
      <c r="F121" s="997"/>
      <c r="G121" s="997"/>
      <c r="H121" s="997"/>
      <c r="I121" s="997"/>
      <c r="J121" s="997"/>
      <c r="K121" s="997"/>
      <c r="L121" s="1018"/>
      <c r="M121" s="345">
        <f>+M115+M119</f>
        <v>0</v>
      </c>
      <c r="N121" s="346">
        <f>'Cost-Share'!AM104</f>
        <v>0</v>
      </c>
      <c r="O121" s="259" t="s">
        <v>222</v>
      </c>
      <c r="P121" s="261">
        <v>0</v>
      </c>
      <c r="R121" s="480"/>
      <c r="S121" s="480"/>
      <c r="T121" s="480"/>
      <c r="U121" s="480"/>
    </row>
    <row r="122" spans="2:21" ht="7.5" customHeight="1" thickBot="1">
      <c r="B122" s="1021"/>
      <c r="C122" s="1022"/>
      <c r="D122" s="1022"/>
      <c r="E122" s="1022"/>
      <c r="F122" s="1022"/>
      <c r="G122" s="1022"/>
      <c r="H122" s="1022"/>
      <c r="I122" s="1022"/>
      <c r="J122" s="1022"/>
      <c r="K122" s="1022"/>
      <c r="L122" s="1022"/>
      <c r="M122" s="1022"/>
      <c r="N122" s="1023"/>
      <c r="O122" s="195"/>
      <c r="P122" s="195"/>
    </row>
    <row r="123" spans="2:21" ht="15" thickBot="1">
      <c r="B123" s="482"/>
      <c r="C123" s="483"/>
      <c r="D123" s="483"/>
      <c r="E123" s="483"/>
      <c r="F123" s="483"/>
      <c r="G123" s="483"/>
      <c r="H123" s="483"/>
      <c r="I123" s="483"/>
      <c r="J123" s="483"/>
      <c r="K123" s="483"/>
      <c r="L123" s="484" t="s">
        <v>240</v>
      </c>
      <c r="M123" s="1024">
        <f>+M121+N121</f>
        <v>0</v>
      </c>
      <c r="N123" s="1025"/>
      <c r="O123" s="259" t="s">
        <v>224</v>
      </c>
      <c r="P123" s="261">
        <f>(P121-M117)/(H119+1)</f>
        <v>0</v>
      </c>
      <c r="R123" s="480"/>
      <c r="S123" s="480"/>
      <c r="T123" s="480"/>
      <c r="U123" s="480"/>
    </row>
    <row r="124" spans="2:21">
      <c r="B124" s="1005"/>
      <c r="C124" s="1005"/>
      <c r="D124" s="1005"/>
      <c r="E124" s="1005"/>
      <c r="F124" s="1005"/>
      <c r="G124" s="1005"/>
      <c r="H124" s="1005"/>
      <c r="I124" s="1005"/>
      <c r="J124" s="1005"/>
      <c r="K124" s="1005"/>
      <c r="L124" s="1005"/>
      <c r="M124" s="1005"/>
      <c r="N124" s="1005"/>
      <c r="R124" s="487"/>
      <c r="S124" s="487"/>
      <c r="T124" s="487"/>
      <c r="U124" s="487"/>
    </row>
    <row r="125" spans="2:21">
      <c r="B125" s="1005"/>
      <c r="C125" s="1005"/>
      <c r="D125" s="1005"/>
      <c r="E125" s="1005"/>
      <c r="F125" s="1005"/>
      <c r="G125" s="1005"/>
      <c r="H125" s="1005"/>
      <c r="I125" s="1005"/>
      <c r="J125" s="1005"/>
      <c r="K125" s="1005"/>
      <c r="L125" s="1005"/>
      <c r="M125" s="1005"/>
      <c r="N125" s="1005"/>
      <c r="R125" s="480"/>
      <c r="S125" s="480"/>
      <c r="T125" s="480"/>
      <c r="U125" s="480"/>
    </row>
    <row r="126" spans="2:21">
      <c r="B126" s="481"/>
      <c r="C126" s="473"/>
      <c r="D126" s="473"/>
      <c r="E126" s="473"/>
      <c r="F126" s="473"/>
      <c r="G126" s="473"/>
      <c r="H126" s="485"/>
      <c r="I126" s="485"/>
      <c r="J126" s="485"/>
      <c r="K126" s="485"/>
      <c r="L126" s="486"/>
      <c r="M126" s="486"/>
      <c r="N126" s="486"/>
      <c r="R126" s="487"/>
      <c r="S126" s="487"/>
      <c r="T126" s="487"/>
      <c r="U126" s="487"/>
    </row>
    <row r="127" spans="2:21">
      <c r="B127" s="481"/>
      <c r="C127" s="473"/>
      <c r="D127" s="473"/>
      <c r="E127" s="473"/>
      <c r="F127" s="473"/>
      <c r="G127" s="473"/>
      <c r="H127" s="485"/>
      <c r="I127" s="485"/>
      <c r="J127" s="485"/>
      <c r="K127" s="485"/>
      <c r="L127" s="486"/>
      <c r="M127" s="486"/>
      <c r="N127" s="486"/>
      <c r="O127" s="486"/>
      <c r="P127" s="486"/>
      <c r="R127" s="480"/>
      <c r="S127" s="480"/>
      <c r="T127" s="480"/>
      <c r="U127" s="480"/>
    </row>
    <row r="128" spans="2:21">
      <c r="B128" s="481"/>
      <c r="C128" s="473"/>
      <c r="D128" s="473"/>
      <c r="E128" s="473"/>
      <c r="F128" s="473"/>
      <c r="G128" s="473"/>
      <c r="H128" s="485"/>
      <c r="I128" s="485"/>
      <c r="J128" s="485"/>
      <c r="K128" s="485"/>
      <c r="L128" s="486"/>
      <c r="M128" s="486"/>
      <c r="N128" s="486"/>
      <c r="O128" s="486"/>
      <c r="P128" s="486"/>
      <c r="R128" s="487"/>
      <c r="S128" s="487"/>
      <c r="T128" s="487"/>
      <c r="U128" s="487"/>
    </row>
    <row r="129" spans="2:21">
      <c r="B129" s="481"/>
      <c r="C129" s="473"/>
      <c r="D129" s="473"/>
      <c r="E129" s="473"/>
      <c r="F129" s="473"/>
      <c r="G129" s="473"/>
      <c r="H129" s="485"/>
      <c r="I129" s="485"/>
      <c r="J129" s="485"/>
      <c r="K129" s="485"/>
      <c r="L129" s="486"/>
      <c r="M129" s="486"/>
      <c r="N129" s="486"/>
      <c r="O129" s="486"/>
      <c r="P129" s="486"/>
      <c r="R129" s="480"/>
      <c r="S129" s="480"/>
      <c r="T129" s="480"/>
      <c r="U129" s="480"/>
    </row>
    <row r="130" spans="2:21">
      <c r="B130" s="481"/>
      <c r="C130" s="473"/>
      <c r="D130" s="473"/>
      <c r="E130" s="473"/>
      <c r="F130" s="473"/>
      <c r="G130" s="473"/>
      <c r="H130" s="485"/>
      <c r="I130" s="485"/>
      <c r="J130" s="485"/>
      <c r="K130" s="485"/>
      <c r="L130" s="486"/>
      <c r="M130" s="486"/>
      <c r="N130" s="486"/>
      <c r="O130" s="486"/>
      <c r="P130" s="486"/>
      <c r="R130" s="487"/>
      <c r="S130" s="487"/>
      <c r="T130" s="487"/>
      <c r="U130" s="487"/>
    </row>
    <row r="131" spans="2:21">
      <c r="B131" s="481"/>
      <c r="C131" s="473"/>
      <c r="D131" s="473"/>
      <c r="E131" s="473"/>
      <c r="F131" s="473"/>
      <c r="G131" s="473"/>
      <c r="H131" s="473"/>
      <c r="I131" s="473"/>
      <c r="J131" s="486"/>
      <c r="K131" s="486"/>
      <c r="L131" s="486"/>
      <c r="M131" s="486"/>
      <c r="N131" s="486"/>
      <c r="O131" s="486"/>
      <c r="P131" s="486"/>
      <c r="R131" s="487"/>
      <c r="S131" s="487"/>
      <c r="T131" s="487"/>
      <c r="U131" s="487"/>
    </row>
    <row r="132" spans="2:21">
      <c r="B132" s="481"/>
      <c r="C132" s="473"/>
      <c r="D132" s="473"/>
      <c r="E132" s="473"/>
      <c r="F132" s="473"/>
      <c r="G132" s="473"/>
      <c r="H132" s="473"/>
      <c r="I132" s="473"/>
      <c r="J132" s="486"/>
      <c r="K132" s="486"/>
      <c r="L132" s="486"/>
      <c r="M132" s="473"/>
      <c r="N132" s="473"/>
      <c r="O132" s="473"/>
      <c r="P132" s="473"/>
      <c r="R132" s="487"/>
      <c r="S132" s="487"/>
      <c r="T132" s="487"/>
      <c r="U132" s="487"/>
    </row>
    <row r="133" spans="2:21">
      <c r="B133" s="481"/>
      <c r="C133" s="473"/>
      <c r="D133" s="473"/>
      <c r="E133" s="473"/>
      <c r="F133" s="473"/>
      <c r="G133" s="473"/>
      <c r="H133" s="473"/>
      <c r="I133" s="473"/>
      <c r="J133" s="486"/>
      <c r="K133" s="486"/>
      <c r="L133" s="486"/>
      <c r="M133" s="486"/>
      <c r="N133" s="486"/>
      <c r="O133" s="486"/>
      <c r="P133" s="486"/>
      <c r="R133" s="487"/>
      <c r="S133" s="487"/>
      <c r="T133" s="487"/>
      <c r="U133" s="487"/>
    </row>
    <row r="134" spans="2:21">
      <c r="B134" s="481"/>
      <c r="C134" s="473"/>
      <c r="D134" s="473"/>
      <c r="E134" s="473"/>
      <c r="F134" s="473"/>
      <c r="G134" s="473"/>
      <c r="H134" s="473"/>
      <c r="I134" s="473"/>
      <c r="J134" s="486"/>
      <c r="K134" s="486"/>
      <c r="L134" s="486"/>
      <c r="M134" s="473"/>
      <c r="N134" s="473"/>
      <c r="O134" s="473"/>
      <c r="P134" s="473"/>
      <c r="R134" s="487"/>
      <c r="S134" s="487"/>
      <c r="T134" s="487"/>
      <c r="U134" s="487"/>
    </row>
    <row r="135" spans="2:21">
      <c r="B135" s="481"/>
      <c r="C135" s="473"/>
      <c r="D135" s="473"/>
      <c r="E135" s="473"/>
      <c r="F135" s="473"/>
      <c r="G135" s="473"/>
      <c r="H135" s="486"/>
      <c r="I135" s="486"/>
      <c r="J135" s="486"/>
      <c r="K135" s="486"/>
      <c r="L135" s="486"/>
      <c r="M135" s="486"/>
      <c r="N135" s="486"/>
      <c r="O135" s="486"/>
      <c r="P135" s="486"/>
      <c r="R135" s="487"/>
      <c r="S135" s="487"/>
      <c r="T135" s="487"/>
      <c r="U135" s="487"/>
    </row>
    <row r="136" spans="2:21">
      <c r="B136" s="488"/>
      <c r="C136" s="473"/>
      <c r="D136" s="473"/>
      <c r="E136" s="473"/>
      <c r="F136" s="473"/>
      <c r="G136" s="473"/>
      <c r="H136" s="473"/>
      <c r="I136" s="473"/>
      <c r="J136" s="486"/>
      <c r="K136" s="486"/>
      <c r="L136" s="486"/>
      <c r="M136" s="473"/>
      <c r="N136" s="473"/>
      <c r="O136" s="473"/>
      <c r="P136" s="473"/>
      <c r="R136" s="487"/>
      <c r="S136" s="487"/>
      <c r="T136" s="487"/>
      <c r="U136" s="487"/>
    </row>
    <row r="137" spans="2:21">
      <c r="B137" s="488"/>
      <c r="C137" s="473"/>
      <c r="D137" s="473"/>
      <c r="E137" s="473"/>
      <c r="F137" s="473"/>
      <c r="G137" s="473"/>
      <c r="H137" s="473"/>
      <c r="I137" s="473"/>
      <c r="J137" s="486"/>
      <c r="K137" s="486"/>
      <c r="L137" s="486"/>
      <c r="M137" s="486"/>
      <c r="N137" s="486"/>
      <c r="O137" s="486"/>
      <c r="P137" s="486"/>
      <c r="R137" s="487"/>
      <c r="S137" s="487"/>
      <c r="T137" s="487"/>
      <c r="U137" s="487"/>
    </row>
    <row r="138" spans="2:21">
      <c r="B138" s="488"/>
      <c r="C138" s="473"/>
      <c r="D138" s="473"/>
      <c r="E138" s="473"/>
      <c r="F138" s="473"/>
      <c r="G138" s="473"/>
      <c r="H138" s="473"/>
      <c r="I138" s="473"/>
      <c r="J138" s="473"/>
      <c r="K138" s="473"/>
      <c r="L138" s="473"/>
      <c r="M138" s="473"/>
      <c r="N138" s="473"/>
      <c r="O138" s="473"/>
      <c r="P138" s="473"/>
      <c r="R138" s="487"/>
      <c r="S138" s="487"/>
      <c r="T138" s="487"/>
      <c r="U138" s="487"/>
    </row>
    <row r="139" spans="2:21">
      <c r="B139" s="488"/>
      <c r="C139" s="473"/>
      <c r="D139" s="473"/>
      <c r="E139" s="473"/>
      <c r="F139" s="473"/>
      <c r="G139" s="473"/>
      <c r="H139" s="473"/>
      <c r="I139" s="473"/>
      <c r="J139" s="473"/>
      <c r="K139" s="473"/>
      <c r="L139" s="473"/>
      <c r="M139" s="473"/>
      <c r="N139" s="473"/>
      <c r="O139" s="473"/>
      <c r="P139" s="473"/>
      <c r="R139" s="487"/>
      <c r="S139" s="487"/>
      <c r="T139" s="487"/>
      <c r="U139" s="487"/>
    </row>
    <row r="140" spans="2:21">
      <c r="B140" s="488"/>
      <c r="C140" s="473"/>
      <c r="D140" s="473"/>
      <c r="E140" s="473"/>
      <c r="F140" s="473"/>
      <c r="G140" s="473"/>
      <c r="H140" s="473"/>
      <c r="I140" s="473"/>
      <c r="J140" s="473"/>
      <c r="K140" s="473"/>
      <c r="L140" s="473"/>
      <c r="M140" s="473"/>
      <c r="N140" s="473"/>
      <c r="O140" s="473"/>
      <c r="P140" s="473"/>
      <c r="R140" s="487"/>
      <c r="S140" s="487"/>
      <c r="T140" s="487"/>
      <c r="U140" s="487"/>
    </row>
    <row r="141" spans="2:21">
      <c r="B141" s="488"/>
      <c r="C141" s="473"/>
      <c r="D141" s="473"/>
      <c r="E141" s="473"/>
      <c r="F141" s="473"/>
      <c r="G141" s="473"/>
      <c r="H141" s="473"/>
      <c r="I141" s="473"/>
      <c r="J141" s="473"/>
      <c r="K141" s="473"/>
      <c r="L141" s="473"/>
      <c r="M141" s="473"/>
      <c r="N141" s="473"/>
      <c r="O141" s="473"/>
      <c r="P141" s="473"/>
      <c r="R141" s="487"/>
      <c r="S141" s="487"/>
      <c r="T141" s="487"/>
      <c r="U141" s="487"/>
    </row>
    <row r="142" spans="2:21">
      <c r="B142" s="488"/>
      <c r="C142" s="473"/>
      <c r="D142" s="473"/>
      <c r="E142" s="473"/>
      <c r="F142" s="473"/>
      <c r="G142" s="473"/>
      <c r="H142" s="473"/>
      <c r="I142" s="473"/>
      <c r="J142" s="473"/>
      <c r="K142" s="473"/>
      <c r="L142" s="473"/>
      <c r="M142" s="473"/>
      <c r="N142" s="473"/>
      <c r="O142" s="473"/>
      <c r="P142" s="473"/>
      <c r="R142" s="487"/>
      <c r="S142" s="487"/>
      <c r="T142" s="487"/>
      <c r="U142" s="487"/>
    </row>
    <row r="143" spans="2:21">
      <c r="B143" s="488"/>
      <c r="C143" s="473"/>
      <c r="D143" s="473"/>
      <c r="E143" s="473"/>
      <c r="F143" s="473"/>
      <c r="G143" s="473"/>
      <c r="H143" s="473"/>
      <c r="I143" s="473"/>
      <c r="J143" s="473"/>
      <c r="K143" s="473"/>
      <c r="L143" s="473"/>
      <c r="M143" s="473"/>
      <c r="N143" s="473"/>
      <c r="O143" s="473"/>
      <c r="P143" s="473"/>
      <c r="R143" s="487"/>
      <c r="S143" s="487"/>
      <c r="T143" s="487"/>
      <c r="U143" s="487"/>
    </row>
    <row r="144" spans="2:21">
      <c r="B144" s="488"/>
      <c r="C144" s="473"/>
      <c r="D144" s="473"/>
      <c r="E144" s="473"/>
      <c r="F144" s="473"/>
      <c r="G144" s="473"/>
      <c r="H144" s="473"/>
      <c r="I144" s="473"/>
      <c r="J144" s="473"/>
      <c r="K144" s="473"/>
      <c r="L144" s="473"/>
      <c r="M144" s="473"/>
      <c r="N144" s="473"/>
      <c r="O144" s="473"/>
      <c r="P144" s="473"/>
      <c r="R144" s="487"/>
      <c r="S144" s="487"/>
      <c r="T144" s="487"/>
      <c r="U144" s="487"/>
    </row>
    <row r="145" spans="2:21">
      <c r="B145" s="488"/>
      <c r="C145" s="473"/>
      <c r="D145" s="473"/>
      <c r="E145" s="473"/>
      <c r="F145" s="473"/>
      <c r="G145" s="473"/>
      <c r="H145" s="473"/>
      <c r="I145" s="473"/>
      <c r="J145" s="473"/>
      <c r="K145" s="473"/>
      <c r="L145" s="473"/>
      <c r="M145" s="473"/>
      <c r="N145" s="473"/>
      <c r="O145" s="473"/>
      <c r="P145" s="473"/>
      <c r="R145" s="487"/>
      <c r="S145" s="487"/>
      <c r="T145" s="487"/>
      <c r="U145" s="487"/>
    </row>
    <row r="146" spans="2:21">
      <c r="B146" s="488"/>
      <c r="C146" s="473"/>
      <c r="D146" s="473"/>
      <c r="E146" s="473"/>
      <c r="F146" s="473"/>
      <c r="G146" s="473"/>
      <c r="H146" s="473"/>
      <c r="I146" s="473"/>
      <c r="J146" s="473"/>
      <c r="K146" s="473"/>
      <c r="L146" s="473"/>
      <c r="M146" s="473"/>
      <c r="N146" s="473"/>
      <c r="O146" s="473"/>
      <c r="P146" s="473"/>
      <c r="R146" s="487"/>
      <c r="S146" s="487"/>
      <c r="T146" s="487"/>
      <c r="U146" s="487"/>
    </row>
    <row r="147" spans="2:21">
      <c r="B147" s="488"/>
      <c r="C147" s="473"/>
      <c r="D147" s="473"/>
      <c r="E147" s="473"/>
      <c r="F147" s="473"/>
      <c r="G147" s="473"/>
      <c r="H147" s="473"/>
      <c r="I147" s="473"/>
      <c r="J147" s="473"/>
      <c r="K147" s="473"/>
      <c r="L147" s="473"/>
      <c r="M147" s="473"/>
      <c r="N147" s="473"/>
      <c r="O147" s="473"/>
      <c r="P147" s="473"/>
    </row>
    <row r="148" spans="2:21">
      <c r="B148" s="488"/>
      <c r="C148" s="473"/>
      <c r="D148" s="473"/>
      <c r="E148" s="473"/>
      <c r="F148" s="473"/>
      <c r="G148" s="473"/>
      <c r="H148" s="473"/>
      <c r="I148" s="473"/>
      <c r="J148" s="473"/>
      <c r="K148" s="473"/>
      <c r="L148" s="473"/>
      <c r="M148" s="473"/>
      <c r="N148" s="473"/>
      <c r="O148" s="473"/>
      <c r="P148" s="473"/>
    </row>
    <row r="149" spans="2:21">
      <c r="B149" s="488"/>
      <c r="C149" s="473"/>
      <c r="D149" s="473"/>
      <c r="E149" s="473"/>
      <c r="F149" s="473"/>
      <c r="G149" s="473"/>
      <c r="H149" s="473"/>
      <c r="I149" s="473"/>
      <c r="J149" s="473"/>
      <c r="K149" s="473"/>
      <c r="L149" s="473"/>
      <c r="M149" s="473"/>
      <c r="N149" s="473"/>
      <c r="O149" s="473"/>
      <c r="P149" s="473"/>
    </row>
    <row r="150" spans="2:21">
      <c r="B150" s="488"/>
      <c r="C150" s="473"/>
      <c r="D150" s="473"/>
      <c r="E150" s="473"/>
      <c r="F150" s="473"/>
      <c r="G150" s="473"/>
      <c r="H150" s="473"/>
      <c r="I150" s="473"/>
      <c r="J150" s="473"/>
      <c r="K150" s="473"/>
      <c r="L150" s="473"/>
      <c r="M150" s="473"/>
      <c r="N150" s="473"/>
      <c r="O150" s="473"/>
      <c r="P150" s="473"/>
    </row>
    <row r="151" spans="2:21" hidden="1">
      <c r="B151" s="488"/>
      <c r="C151" s="473"/>
      <c r="D151" s="473"/>
      <c r="E151" s="473"/>
      <c r="F151" s="473"/>
      <c r="G151" s="473"/>
      <c r="H151" s="473"/>
      <c r="I151" s="473"/>
      <c r="J151" s="473"/>
      <c r="K151" s="473"/>
      <c r="L151" s="473"/>
      <c r="M151" s="473"/>
      <c r="N151" s="473"/>
      <c r="O151" s="473"/>
      <c r="P151" s="473"/>
    </row>
    <row r="152" spans="2:21" hidden="1">
      <c r="B152" s="488"/>
      <c r="C152" s="473"/>
      <c r="D152" s="473"/>
      <c r="E152" s="473"/>
      <c r="F152" s="473"/>
      <c r="G152" s="473"/>
      <c r="H152" s="473"/>
      <c r="I152" s="473"/>
      <c r="J152" s="473"/>
      <c r="K152" s="473"/>
      <c r="L152" s="473"/>
      <c r="M152" s="473"/>
      <c r="N152" s="473"/>
      <c r="O152" s="473"/>
      <c r="P152" s="473"/>
    </row>
    <row r="153" spans="2:21">
      <c r="B153" s="488"/>
      <c r="C153" s="473"/>
      <c r="D153" s="473"/>
      <c r="E153" s="473"/>
      <c r="F153" s="473"/>
      <c r="G153" s="473"/>
      <c r="H153" s="473"/>
      <c r="I153" s="473"/>
      <c r="J153" s="473"/>
      <c r="K153" s="473"/>
      <c r="L153" s="473"/>
      <c r="M153" s="473"/>
      <c r="N153" s="473"/>
      <c r="O153" s="473"/>
      <c r="P153" s="473"/>
    </row>
    <row r="154" spans="2:21">
      <c r="B154" s="488"/>
      <c r="C154" s="473"/>
      <c r="D154" s="473"/>
      <c r="E154" s="473"/>
      <c r="F154" s="473"/>
      <c r="G154" s="473"/>
      <c r="H154" s="473"/>
      <c r="I154" s="473"/>
      <c r="J154" s="473"/>
      <c r="K154" s="473"/>
      <c r="L154" s="473"/>
      <c r="M154" s="473"/>
      <c r="N154" s="473"/>
      <c r="O154" s="473"/>
      <c r="P154" s="473"/>
    </row>
    <row r="155" spans="2:21"/>
    <row r="156" spans="2:21"/>
    <row r="157" spans="2:21"/>
    <row r="158" spans="2:21"/>
    <row r="159" spans="2:21"/>
    <row r="160" spans="2:21"/>
    <row r="161"/>
    <row r="162"/>
    <row r="163"/>
    <row r="164"/>
    <row r="165"/>
    <row r="166"/>
    <row r="167"/>
    <row r="168"/>
    <row r="169"/>
    <row r="170"/>
    <row r="171"/>
    <row r="172"/>
    <row r="173"/>
    <row r="174"/>
    <row r="175"/>
    <row r="176"/>
    <row r="177"/>
    <row r="178"/>
    <row r="179"/>
    <row r="180"/>
  </sheetData>
  <protectedRanges>
    <protectedRange sqref="I12:J23 M77:M80 F89:M112 F30:J31 D30:D31 D37:D38 F45:J48 D45:D48 F61:M61 D59:D61 F70:M73 D70:D73 F65:M66 D65:D66 F77:K80 D77:D80 F84:M85 D84:D85 B12:G23 F59:L60 F37:H38 J37:K38" name="Range1"/>
    <protectedRange sqref="F49:J51 E49 D50:D51" name="Range1_1"/>
    <protectedRange sqref="B45:C51 D49" name="Range1_5"/>
    <protectedRange sqref="B30:C31" name="Range1_4_1"/>
    <protectedRange sqref="B37:C38" name="Range1_4_2"/>
    <protectedRange sqref="M59:M60" name="Range1_2"/>
  </protectedRanges>
  <mergeCells count="249">
    <mergeCell ref="B117:L117"/>
    <mergeCell ref="B81:K81"/>
    <mergeCell ref="F76:M76"/>
    <mergeCell ref="B77:C77"/>
    <mergeCell ref="B78:C78"/>
    <mergeCell ref="B79:C79"/>
    <mergeCell ref="B80:C80"/>
    <mergeCell ref="B87:M87"/>
    <mergeCell ref="F109:L109"/>
    <mergeCell ref="F88:M88"/>
    <mergeCell ref="B85:C85"/>
    <mergeCell ref="F110:L110"/>
    <mergeCell ref="F78:K78"/>
    <mergeCell ref="F83:M83"/>
    <mergeCell ref="B86:L86"/>
    <mergeCell ref="B88:E88"/>
    <mergeCell ref="B84:C84"/>
    <mergeCell ref="B89:C89"/>
    <mergeCell ref="B83:E83"/>
    <mergeCell ref="B90:C90"/>
    <mergeCell ref="B91:C91"/>
    <mergeCell ref="B92:C92"/>
    <mergeCell ref="B93:C93"/>
    <mergeCell ref="B94:C94"/>
    <mergeCell ref="B120:N120"/>
    <mergeCell ref="M123:N123"/>
    <mergeCell ref="B122:N122"/>
    <mergeCell ref="B75:M75"/>
    <mergeCell ref="B72:C72"/>
    <mergeCell ref="B73:C73"/>
    <mergeCell ref="B111:C111"/>
    <mergeCell ref="B112:C112"/>
    <mergeCell ref="B105:C105"/>
    <mergeCell ref="B106:C106"/>
    <mergeCell ref="B107:C107"/>
    <mergeCell ref="B108:C108"/>
    <mergeCell ref="B109:C109"/>
    <mergeCell ref="B110:C110"/>
    <mergeCell ref="F112:L112"/>
    <mergeCell ref="F105:L105"/>
    <mergeCell ref="F111:L111"/>
    <mergeCell ref="F106:L106"/>
    <mergeCell ref="F107:L107"/>
    <mergeCell ref="B76:E76"/>
    <mergeCell ref="B114:N114"/>
    <mergeCell ref="B116:N116"/>
    <mergeCell ref="F73:L73"/>
    <mergeCell ref="B82:M82"/>
    <mergeCell ref="R6:U6"/>
    <mergeCell ref="B6:P6"/>
    <mergeCell ref="R28:U28"/>
    <mergeCell ref="C4:I4"/>
    <mergeCell ref="R43:U43"/>
    <mergeCell ref="B25:M25"/>
    <mergeCell ref="B10:M10"/>
    <mergeCell ref="B28:M28"/>
    <mergeCell ref="N28:P28"/>
    <mergeCell ref="B43:M43"/>
    <mergeCell ref="N43:P43"/>
    <mergeCell ref="R10:U10"/>
    <mergeCell ref="F18:G18"/>
    <mergeCell ref="F15:G15"/>
    <mergeCell ref="F16:G16"/>
    <mergeCell ref="F17:G17"/>
    <mergeCell ref="B24:J24"/>
    <mergeCell ref="B36:C36"/>
    <mergeCell ref="B37:C37"/>
    <mergeCell ref="B38:C38"/>
    <mergeCell ref="B42:M42"/>
    <mergeCell ref="R35:U35"/>
    <mergeCell ref="N35:P35"/>
    <mergeCell ref="R41:U41"/>
    <mergeCell ref="F2:H3"/>
    <mergeCell ref="F12:G12"/>
    <mergeCell ref="F13:G13"/>
    <mergeCell ref="F14:G14"/>
    <mergeCell ref="B7:M7"/>
    <mergeCell ref="H49:I49"/>
    <mergeCell ref="H50:I50"/>
    <mergeCell ref="L4:P4"/>
    <mergeCell ref="B8:P8"/>
    <mergeCell ref="B35:M35"/>
    <mergeCell ref="N10:P10"/>
    <mergeCell ref="B49:C49"/>
    <mergeCell ref="B50:C50"/>
    <mergeCell ref="I2:K3"/>
    <mergeCell ref="L2:L3"/>
    <mergeCell ref="M2:P3"/>
    <mergeCell ref="K49:K51"/>
    <mergeCell ref="B51:C51"/>
    <mergeCell ref="H51:I51"/>
    <mergeCell ref="B44:C44"/>
    <mergeCell ref="B45:C45"/>
    <mergeCell ref="B46:C46"/>
    <mergeCell ref="B47:C47"/>
    <mergeCell ref="B48:C48"/>
    <mergeCell ref="B124:N125"/>
    <mergeCell ref="F19:G19"/>
    <mergeCell ref="F20:G20"/>
    <mergeCell ref="F21:G21"/>
    <mergeCell ref="F22:G22"/>
    <mergeCell ref="F23:G23"/>
    <mergeCell ref="F70:L70"/>
    <mergeCell ref="B39:J39"/>
    <mergeCell ref="B121:L121"/>
    <mergeCell ref="B119:F119"/>
    <mergeCell ref="B115:L115"/>
    <mergeCell ref="B113:L113"/>
    <mergeCell ref="F72:L72"/>
    <mergeCell ref="B63:M63"/>
    <mergeCell ref="B54:J54"/>
    <mergeCell ref="B52:J52"/>
    <mergeCell ref="F65:L65"/>
    <mergeCell ref="B53:M53"/>
    <mergeCell ref="B56:P56"/>
    <mergeCell ref="B65:C65"/>
    <mergeCell ref="F84:L84"/>
    <mergeCell ref="F85:L85"/>
    <mergeCell ref="B66:C66"/>
    <mergeCell ref="F108:L108"/>
    <mergeCell ref="F89:L89"/>
    <mergeCell ref="F90:L90"/>
    <mergeCell ref="F91:L91"/>
    <mergeCell ref="F92:L92"/>
    <mergeCell ref="F93:L93"/>
    <mergeCell ref="R8:U8"/>
    <mergeCell ref="B9:M9"/>
    <mergeCell ref="B26:P26"/>
    <mergeCell ref="R26:U26"/>
    <mergeCell ref="B27:M27"/>
    <mergeCell ref="B32:M32"/>
    <mergeCell ref="B33:P33"/>
    <mergeCell ref="R33:U33"/>
    <mergeCell ref="B34:M34"/>
    <mergeCell ref="B29:C29"/>
    <mergeCell ref="B30:C30"/>
    <mergeCell ref="B31:C31"/>
    <mergeCell ref="F11:G11"/>
    <mergeCell ref="F60:G60"/>
    <mergeCell ref="B69:E69"/>
    <mergeCell ref="B67:L67"/>
    <mergeCell ref="F61:L61"/>
    <mergeCell ref="B68:M68"/>
    <mergeCell ref="B70:C70"/>
    <mergeCell ref="B60:C60"/>
    <mergeCell ref="F77:K77"/>
    <mergeCell ref="F79:K79"/>
    <mergeCell ref="F80:K80"/>
    <mergeCell ref="B40:M40"/>
    <mergeCell ref="B41:P41"/>
    <mergeCell ref="B61:C61"/>
    <mergeCell ref="B62:L62"/>
    <mergeCell ref="B64:E64"/>
    <mergeCell ref="J59:L59"/>
    <mergeCell ref="J60:L60"/>
    <mergeCell ref="H59:I59"/>
    <mergeCell ref="H60:I60"/>
    <mergeCell ref="F59:G59"/>
    <mergeCell ref="B71:C71"/>
    <mergeCell ref="F64:M64"/>
    <mergeCell ref="B74:L74"/>
    <mergeCell ref="F71:L71"/>
    <mergeCell ref="F69:M69"/>
    <mergeCell ref="F66:L66"/>
    <mergeCell ref="B59:C59"/>
    <mergeCell ref="D73:E73"/>
    <mergeCell ref="D65:E65"/>
    <mergeCell ref="D66:E66"/>
    <mergeCell ref="F94:L94"/>
    <mergeCell ref="F95:L95"/>
    <mergeCell ref="F96:L96"/>
    <mergeCell ref="F97:L97"/>
    <mergeCell ref="F103:L103"/>
    <mergeCell ref="F104:L104"/>
    <mergeCell ref="B98:C98"/>
    <mergeCell ref="B99:C99"/>
    <mergeCell ref="B100:C100"/>
    <mergeCell ref="B101:C101"/>
    <mergeCell ref="B102:C102"/>
    <mergeCell ref="B103:C103"/>
    <mergeCell ref="B104:C104"/>
    <mergeCell ref="F98:L98"/>
    <mergeCell ref="F99:L99"/>
    <mergeCell ref="F100:L100"/>
    <mergeCell ref="F101:L101"/>
    <mergeCell ref="F102:L102"/>
    <mergeCell ref="B95:C95"/>
    <mergeCell ref="B96:C96"/>
    <mergeCell ref="B97:C97"/>
    <mergeCell ref="D101:E101"/>
    <mergeCell ref="D102:E102"/>
    <mergeCell ref="D103:E103"/>
    <mergeCell ref="D50:G50"/>
    <mergeCell ref="D51:G51"/>
    <mergeCell ref="D29:G29"/>
    <mergeCell ref="D30:G30"/>
    <mergeCell ref="D31:G31"/>
    <mergeCell ref="D36:G36"/>
    <mergeCell ref="D37:G37"/>
    <mergeCell ref="D38:G38"/>
    <mergeCell ref="D44:G44"/>
    <mergeCell ref="D45:G45"/>
    <mergeCell ref="D46:G46"/>
    <mergeCell ref="D112:E112"/>
    <mergeCell ref="D92:E92"/>
    <mergeCell ref="D93:E93"/>
    <mergeCell ref="D94:E94"/>
    <mergeCell ref="D95:E95"/>
    <mergeCell ref="D96:E96"/>
    <mergeCell ref="D97:E97"/>
    <mergeCell ref="D98:E98"/>
    <mergeCell ref="D99:E99"/>
    <mergeCell ref="D100:E100"/>
    <mergeCell ref="D109:E109"/>
    <mergeCell ref="D110:E110"/>
    <mergeCell ref="D111:E111"/>
    <mergeCell ref="D77:E77"/>
    <mergeCell ref="D78:E78"/>
    <mergeCell ref="D79:E79"/>
    <mergeCell ref="D80:E80"/>
    <mergeCell ref="D84:E84"/>
    <mergeCell ref="D85:E85"/>
    <mergeCell ref="D89:E89"/>
    <mergeCell ref="D90:E90"/>
    <mergeCell ref="D91:E91"/>
    <mergeCell ref="H36:I36"/>
    <mergeCell ref="H37:I37"/>
    <mergeCell ref="H38:I38"/>
    <mergeCell ref="D2:E3"/>
    <mergeCell ref="D104:E104"/>
    <mergeCell ref="D105:E105"/>
    <mergeCell ref="D106:E106"/>
    <mergeCell ref="D107:E107"/>
    <mergeCell ref="D108:E108"/>
    <mergeCell ref="D59:E59"/>
    <mergeCell ref="D60:E60"/>
    <mergeCell ref="D61:E61"/>
    <mergeCell ref="D70:E70"/>
    <mergeCell ref="D71:E71"/>
    <mergeCell ref="D72:E72"/>
    <mergeCell ref="B55:M55"/>
    <mergeCell ref="B57:M57"/>
    <mergeCell ref="B58:E58"/>
    <mergeCell ref="J58:L58"/>
    <mergeCell ref="F58:G58"/>
    <mergeCell ref="H58:I58"/>
    <mergeCell ref="D47:G47"/>
    <mergeCell ref="D48:G48"/>
    <mergeCell ref="D49:G49"/>
  </mergeCells>
  <conditionalFormatting sqref="I12:I23">
    <cfRule type="expression" dxfId="1" priority="1">
      <formula>SUM(B12+I12)&gt;12</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EC4B526-0B5A-4B9A-99AB-11BD665416C0}">
          <x14:formula1>
            <xm:f>'Tuition &amp; Fees'!$C$24:$D$24</xm:f>
          </x14:formula1>
          <xm:sqref>H59:H60</xm:sqref>
        </x14:dataValidation>
        <x14:dataValidation type="list" allowBlank="1" showInputMessage="1" showErrorMessage="1" xr:uid="{0FF52C83-7D09-44F0-837E-D204C0030E9F}">
          <x14:formula1>
            <xm:f>'Tuition &amp; Fees'!$B$4:$B$21</xm:f>
          </x14:formula1>
          <xm:sqref>J59:L59</xm:sqref>
        </x14:dataValidation>
        <x14:dataValidation type="list" allowBlank="1" showInputMessage="1" showErrorMessage="1" xr:uid="{F6FEB9D9-8B55-4D2E-9B4D-1A6FCE276ACF}">
          <x14:formula1>
            <xm:f>'Tuition &amp; Fees'!$B$25:$B$42</xm:f>
          </x14:formula1>
          <xm:sqref>J60:L60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7E7ED-F9B5-4539-BC62-ECA924DE7EC4}">
  <sheetPr codeName="Sheet6"/>
  <dimension ref="B1:W180"/>
  <sheetViews>
    <sheetView showGridLines="0" zoomScaleNormal="100" workbookViewId="0">
      <selection activeCell="B35" sqref="B35:M35"/>
    </sheetView>
  </sheetViews>
  <sheetFormatPr defaultColWidth="0" defaultRowHeight="14.25" zeroHeight="1"/>
  <cols>
    <col min="1" max="1" width="2.140625" style="23" customWidth="1"/>
    <col min="2" max="2" width="17" style="394" customWidth="1"/>
    <col min="3" max="3" width="17" style="23" customWidth="1"/>
    <col min="4" max="4" width="28.140625" style="23" customWidth="1"/>
    <col min="5" max="5" width="52.7109375" style="23" customWidth="1"/>
    <col min="6" max="6" width="5.28515625" style="23" customWidth="1"/>
    <col min="7" max="7" width="6.5703125" style="23" customWidth="1"/>
    <col min="8" max="8" width="10.7109375" style="23" customWidth="1"/>
    <col min="9" max="9" width="10.42578125" style="23" customWidth="1"/>
    <col min="10" max="10" width="17.140625" style="23" customWidth="1"/>
    <col min="11" max="11" width="16" style="23" customWidth="1"/>
    <col min="12" max="12" width="15.5703125" style="23" customWidth="1"/>
    <col min="13" max="15" width="16.42578125" style="23" customWidth="1"/>
    <col min="16" max="16" width="15" style="23" customWidth="1"/>
    <col min="17" max="17" width="2.7109375" style="23" customWidth="1"/>
    <col min="18" max="21" width="15" style="395" customWidth="1"/>
    <col min="22" max="22" width="9.140625" style="23" customWidth="1"/>
    <col min="23" max="16384" width="0" style="23" hidden="1"/>
  </cols>
  <sheetData>
    <row r="1" spans="2:21" ht="7.5" customHeight="1" thickBot="1"/>
    <row r="2" spans="2:21" s="398" customFormat="1" ht="14.25" customHeight="1">
      <c r="B2" s="396" t="s">
        <v>241</v>
      </c>
      <c r="C2" s="397" t="e">
        <f>IF(ISBLANK('Budget Summary'!D5),"-",EDATE('Bdgt Yr 4'!C2,12))</f>
        <v>#VALUE!</v>
      </c>
      <c r="D2" s="944" t="s">
        <v>123</v>
      </c>
      <c r="E2" s="945"/>
      <c r="F2" s="1035" t="s">
        <v>124</v>
      </c>
      <c r="G2" s="1036"/>
      <c r="H2" s="1036"/>
      <c r="I2" s="1039" t="str">
        <f>T('Bdgt Yr 1'!I2)</f>
        <v/>
      </c>
      <c r="J2" s="1039"/>
      <c r="K2" s="945"/>
      <c r="L2" s="1041" t="s">
        <v>125</v>
      </c>
      <c r="M2" s="1026" t="str">
        <f>T('Bdgt Yr 1'!M2)</f>
        <v/>
      </c>
      <c r="N2" s="1026"/>
      <c r="O2" s="1026"/>
      <c r="P2" s="1027"/>
      <c r="R2" s="404"/>
      <c r="S2" s="404"/>
      <c r="T2" s="404"/>
      <c r="U2" s="404"/>
    </row>
    <row r="3" spans="2:21" s="398" customFormat="1" ht="14.25" customHeight="1">
      <c r="B3" s="399" t="s">
        <v>242</v>
      </c>
      <c r="C3" s="400" t="e">
        <f>IF(ISBLANK('Budget Summary'!D5),"-",EDATE('Bdgt Yr 4'!C3,12))</f>
        <v>#VALUE!</v>
      </c>
      <c r="D3" s="946"/>
      <c r="E3" s="947"/>
      <c r="F3" s="1037"/>
      <c r="G3" s="1038"/>
      <c r="H3" s="1038"/>
      <c r="I3" s="1040"/>
      <c r="J3" s="1040"/>
      <c r="K3" s="947"/>
      <c r="L3" s="1042"/>
      <c r="M3" s="1028"/>
      <c r="N3" s="1028"/>
      <c r="O3" s="1028"/>
      <c r="P3" s="1029"/>
      <c r="R3" s="404"/>
      <c r="S3" s="404"/>
      <c r="T3" s="404"/>
      <c r="U3" s="404"/>
    </row>
    <row r="4" spans="2:21" ht="14.25" customHeight="1" thickBot="1">
      <c r="B4" s="401" t="s">
        <v>127</v>
      </c>
      <c r="C4" s="1117" t="str">
        <f>T('Bdgt Yr 1'!C4)</f>
        <v/>
      </c>
      <c r="D4" s="1118"/>
      <c r="E4" s="1118"/>
      <c r="F4" s="1118"/>
      <c r="G4" s="1118"/>
      <c r="H4" s="1118"/>
      <c r="I4" s="1119"/>
      <c r="J4" s="402" t="s">
        <v>128</v>
      </c>
      <c r="K4" s="403">
        <f>'Bdgt Yr 4'!K4+1</f>
        <v>2030</v>
      </c>
      <c r="L4" s="1032" t="s">
        <v>129</v>
      </c>
      <c r="M4" s="1033"/>
      <c r="N4" s="1033"/>
      <c r="O4" s="1033"/>
      <c r="P4" s="1034"/>
    </row>
    <row r="5" spans="2:21">
      <c r="B5" s="405"/>
      <c r="C5" s="490"/>
      <c r="D5" s="490"/>
      <c r="E5" s="490"/>
      <c r="F5" s="490"/>
      <c r="G5" s="490"/>
      <c r="H5" s="490"/>
      <c r="I5" s="490"/>
      <c r="J5" s="407"/>
      <c r="K5" s="408"/>
      <c r="L5" s="409"/>
      <c r="M5" s="409"/>
      <c r="N5" s="409"/>
      <c r="O5" s="409"/>
      <c r="P5" s="409"/>
    </row>
    <row r="6" spans="2:21" s="398" customFormat="1" ht="15.75" customHeight="1" thickBot="1">
      <c r="B6" s="985" t="s">
        <v>130</v>
      </c>
      <c r="C6" s="985"/>
      <c r="D6" s="985"/>
      <c r="E6" s="985"/>
      <c r="F6" s="985"/>
      <c r="G6" s="985"/>
      <c r="H6" s="985"/>
      <c r="I6" s="985"/>
      <c r="J6" s="985"/>
      <c r="K6" s="985"/>
      <c r="L6" s="985"/>
      <c r="M6" s="985"/>
      <c r="N6" s="985"/>
      <c r="O6" s="985"/>
      <c r="P6" s="985"/>
      <c r="Q6" s="23"/>
      <c r="R6" s="974"/>
      <c r="S6" s="974"/>
      <c r="T6" s="974"/>
      <c r="U6" s="974"/>
    </row>
    <row r="7" spans="2:21" ht="7.5" customHeight="1">
      <c r="B7" s="960"/>
      <c r="C7" s="960"/>
      <c r="D7" s="960"/>
      <c r="E7" s="960"/>
      <c r="F7" s="960"/>
      <c r="G7" s="960"/>
      <c r="H7" s="960"/>
      <c r="I7" s="960"/>
      <c r="J7" s="960"/>
      <c r="K7" s="960"/>
      <c r="L7" s="960"/>
      <c r="M7" s="960"/>
    </row>
    <row r="8" spans="2:21" s="398" customFormat="1" ht="15.75" customHeight="1" thickBot="1">
      <c r="B8" s="985" t="s">
        <v>131</v>
      </c>
      <c r="C8" s="985"/>
      <c r="D8" s="985"/>
      <c r="E8" s="985"/>
      <c r="F8" s="985"/>
      <c r="G8" s="985"/>
      <c r="H8" s="985"/>
      <c r="I8" s="985"/>
      <c r="J8" s="985"/>
      <c r="K8" s="985"/>
      <c r="L8" s="985"/>
      <c r="M8" s="985"/>
      <c r="N8" s="985"/>
      <c r="O8" s="985"/>
      <c r="P8" s="985"/>
      <c r="Q8" s="23"/>
      <c r="R8" s="984" t="s">
        <v>132</v>
      </c>
      <c r="S8" s="984"/>
      <c r="T8" s="984"/>
      <c r="U8" s="984"/>
    </row>
    <row r="9" spans="2:21" ht="7.5" customHeight="1" thickBot="1">
      <c r="B9" s="960"/>
      <c r="C9" s="960"/>
      <c r="D9" s="960"/>
      <c r="E9" s="960"/>
      <c r="F9" s="960"/>
      <c r="G9" s="960"/>
      <c r="H9" s="960"/>
      <c r="I9" s="960"/>
      <c r="J9" s="960"/>
      <c r="K9" s="960"/>
      <c r="L9" s="960"/>
      <c r="M9" s="960"/>
    </row>
    <row r="10" spans="2:21" ht="38.25" customHeight="1">
      <c r="B10" s="988" t="s">
        <v>239</v>
      </c>
      <c r="C10" s="989"/>
      <c r="D10" s="989"/>
      <c r="E10" s="989"/>
      <c r="F10" s="989"/>
      <c r="G10" s="989"/>
      <c r="H10" s="989"/>
      <c r="I10" s="989"/>
      <c r="J10" s="989"/>
      <c r="K10" s="989"/>
      <c r="L10" s="989"/>
      <c r="M10" s="989"/>
      <c r="N10" s="1043" t="s">
        <v>134</v>
      </c>
      <c r="O10" s="1044"/>
      <c r="P10" s="1045"/>
      <c r="Q10" s="410"/>
      <c r="R10" s="975" t="s">
        <v>135</v>
      </c>
      <c r="S10" s="976"/>
      <c r="T10" s="976"/>
      <c r="U10" s="977"/>
    </row>
    <row r="11" spans="2:21" ht="28.5">
      <c r="B11" s="526" t="s">
        <v>136</v>
      </c>
      <c r="C11" s="527" t="s">
        <v>228</v>
      </c>
      <c r="D11" s="527" t="s">
        <v>138</v>
      </c>
      <c r="E11" s="491" t="s">
        <v>159</v>
      </c>
      <c r="F11" s="1046" t="s">
        <v>140</v>
      </c>
      <c r="G11" s="1047"/>
      <c r="H11" s="361" t="s">
        <v>141</v>
      </c>
      <c r="I11" s="412" t="s">
        <v>142</v>
      </c>
      <c r="J11" s="412" t="s">
        <v>143</v>
      </c>
      <c r="K11" s="412" t="s">
        <v>144</v>
      </c>
      <c r="L11" s="412" t="s">
        <v>145</v>
      </c>
      <c r="M11" s="413" t="s">
        <v>146</v>
      </c>
      <c r="N11" s="263" t="s">
        <v>147</v>
      </c>
      <c r="O11" s="239" t="s">
        <v>148</v>
      </c>
      <c r="P11" s="271" t="s">
        <v>149</v>
      </c>
      <c r="R11" s="414" t="s">
        <v>150</v>
      </c>
      <c r="S11" s="415" t="s">
        <v>151</v>
      </c>
      <c r="T11" s="415" t="s">
        <v>152</v>
      </c>
      <c r="U11" s="416" t="s">
        <v>153</v>
      </c>
    </row>
    <row r="12" spans="2:21">
      <c r="B12" s="492" t="str">
        <f>IF(ISBLANK('Bdgt Yr 1'!B12),"",'Bdgt Yr 1'!B12)</f>
        <v/>
      </c>
      <c r="C12" s="417" t="str">
        <f>IF(ISBLANK('Bdgt Yr 1'!C12),"",'Bdgt Yr 1'!C12)</f>
        <v/>
      </c>
      <c r="D12" s="693" t="str">
        <f>IF(ISBLANK('Bdgt Yr 1'!D12),"",'Bdgt Yr 1'!D12)</f>
        <v/>
      </c>
      <c r="E12" s="493" t="str">
        <f>T('Bdgt Yr 1'!E12)</f>
        <v/>
      </c>
      <c r="F12" s="1115">
        <v>0</v>
      </c>
      <c r="G12" s="1116"/>
      <c r="H12" s="362">
        <f>IF(ISBLANK('Bdgt Yr 1'!B12),0,(F12/'Bdgt Yr 1'!B12))</f>
        <v>0</v>
      </c>
      <c r="I12" s="419">
        <v>0</v>
      </c>
      <c r="J12" s="25">
        <f>'Bdgt Yr 4'!J12*(1+'Budget Summary'!$G$35)</f>
        <v>0</v>
      </c>
      <c r="K12" s="507">
        <f>IF(ISBLANK('Bdgt Yr 1'!B12),0,ROUNDUP((J12*H12)+(J12/'Bdgt Yr 1'!B12)*I12,0))</f>
        <v>0</v>
      </c>
      <c r="L12" s="28" cm="1">
        <f t="array" ref="L12">ROUNDUP(_xlfn.IFS(ISBLANK('Bdgt Yr 1'!B12),0,OR(C12="ORP",K12=0),(J12*H12*Constants!$N$14)+(Constants!$N$15*H12)+(J12/'Bdgt Yr 1'!B12*I12*Constants!$N$14),OR(C12="TSERS",K12=0),(J12*H12*Constants!$N$7)+(Constants!$N$8*H12)+(J12/'Bdgt Yr 1'!B12*I12*Constants!$N$7),OR(C12="Law Enforcement",K12=0),(J12*H12*Constants!$N$28)+(Constants!$N$29*H12)+(J12/'Bdgt Yr 1'!B12*I12*Constants!$N$28)),0)</f>
        <v>0</v>
      </c>
      <c r="M12" s="56">
        <f>(+K12+L12)</f>
        <v>0</v>
      </c>
      <c r="N12" s="240">
        <f>'Cost-Share'!AT6</f>
        <v>0</v>
      </c>
      <c r="O12" s="238">
        <f>'Cost-Share'!AU6</f>
        <v>0</v>
      </c>
      <c r="P12" s="270">
        <f>'Cost-Share'!AV6</f>
        <v>0</v>
      </c>
      <c r="R12" s="420">
        <f>K12+N12</f>
        <v>0</v>
      </c>
      <c r="S12" s="421">
        <f>L12+O12</f>
        <v>0</v>
      </c>
      <c r="T12" s="421">
        <f>M12+P12</f>
        <v>0</v>
      </c>
      <c r="U12" s="422" t="str">
        <f t="shared" ref="U12:U17" si="0">IFERROR((P12/T12),"-")</f>
        <v>-</v>
      </c>
    </row>
    <row r="13" spans="2:21">
      <c r="B13" s="492" t="str">
        <f>IF(ISBLANK('Bdgt Yr 1'!B13),"",'Bdgt Yr 1'!B13)</f>
        <v/>
      </c>
      <c r="C13" s="417" t="str">
        <f>IF(ISBLANK('Bdgt Yr 1'!C13),"",'Bdgt Yr 1'!C13)</f>
        <v/>
      </c>
      <c r="D13" s="693" t="str">
        <f>IF(ISBLANK('Bdgt Yr 1'!D13),"",'Bdgt Yr 1'!D13)</f>
        <v/>
      </c>
      <c r="E13" s="493" t="str">
        <f>T('Bdgt Yr 1'!E13)</f>
        <v/>
      </c>
      <c r="F13" s="986">
        <v>0</v>
      </c>
      <c r="G13" s="987"/>
      <c r="H13" s="362">
        <f>IF(ISBLANK('Bdgt Yr 1'!B13),0,(F13/'Bdgt Yr 1'!B13))</f>
        <v>0</v>
      </c>
      <c r="I13" s="26">
        <v>0</v>
      </c>
      <c r="J13" s="25">
        <f>'Bdgt Yr 4'!J13*(1+'Budget Summary'!$G$35)</f>
        <v>0</v>
      </c>
      <c r="K13" s="507">
        <f>IF(ISBLANK('Bdgt Yr 1'!B13),0,ROUNDUP((J13*H13)+(J13/'Bdgt Yr 1'!B13)*I13,0))</f>
        <v>0</v>
      </c>
      <c r="L13" s="28" cm="1">
        <f t="array" ref="L13">ROUNDUP(_xlfn.IFS(ISBLANK('Bdgt Yr 1'!B13),0,OR(C13="ORP",K13=0),(J13*H13*Constants!$N$14)+(Constants!$N$15*H13)+(J13/'Bdgt Yr 1'!B13*I13*Constants!$N$14),OR(C13="TSERS",K13=0),(J13*H13*Constants!$N$7)+(Constants!$N$8*H13)+(J13/'Bdgt Yr 1'!B13*I13*Constants!$N$7),OR(C13="Law Enforcement",K13=0),(J13*H13*Constants!$N$28)+(Constants!$N$29*H13)+(J13/'Bdgt Yr 1'!B13*I13*Constants!$N$28)),0)</f>
        <v>0</v>
      </c>
      <c r="M13" s="57">
        <f t="shared" ref="M13:M23" si="1">(+K13+L13)</f>
        <v>0</v>
      </c>
      <c r="N13" s="240">
        <f>'Cost-Share'!AT7</f>
        <v>0</v>
      </c>
      <c r="O13" s="238">
        <f>'Cost-Share'!AU7</f>
        <v>0</v>
      </c>
      <c r="P13" s="270">
        <f>'Cost-Share'!AV7</f>
        <v>0</v>
      </c>
      <c r="R13" s="420">
        <f t="shared" ref="R13:R23" si="2">K13+N13</f>
        <v>0</v>
      </c>
      <c r="S13" s="421">
        <f t="shared" ref="S13:S23" si="3">L13+O13</f>
        <v>0</v>
      </c>
      <c r="T13" s="421">
        <f t="shared" ref="T13:T23" si="4">M13+P13</f>
        <v>0</v>
      </c>
      <c r="U13" s="422" t="str">
        <f t="shared" si="0"/>
        <v>-</v>
      </c>
    </row>
    <row r="14" spans="2:21">
      <c r="B14" s="492" t="str">
        <f>IF(ISBLANK('Bdgt Yr 1'!B14),"",'Bdgt Yr 1'!B14)</f>
        <v/>
      </c>
      <c r="C14" s="417" t="str">
        <f>IF(ISBLANK('Bdgt Yr 1'!C14),"",'Bdgt Yr 1'!C14)</f>
        <v/>
      </c>
      <c r="D14" s="693" t="str">
        <f>IF(ISBLANK('Bdgt Yr 1'!D14),"",'Bdgt Yr 1'!D14)</f>
        <v/>
      </c>
      <c r="E14" s="493" t="str">
        <f>T('Bdgt Yr 1'!E14)</f>
        <v/>
      </c>
      <c r="F14" s="986">
        <v>0</v>
      </c>
      <c r="G14" s="987"/>
      <c r="H14" s="362">
        <f>IF(ISBLANK('Bdgt Yr 1'!B14),0,(F14/'Bdgt Yr 1'!B14))</f>
        <v>0</v>
      </c>
      <c r="I14" s="419">
        <v>0</v>
      </c>
      <c r="J14" s="25">
        <f>'Bdgt Yr 4'!J14*(1+'Budget Summary'!$G$35)</f>
        <v>0</v>
      </c>
      <c r="K14" s="507">
        <f>IF(ISBLANK('Bdgt Yr 1'!B14),0,ROUNDUP((J14*H14)+(J14/'Bdgt Yr 1'!B14)*I14,0))</f>
        <v>0</v>
      </c>
      <c r="L14" s="28" cm="1">
        <f t="array" ref="L14">ROUNDUP(_xlfn.IFS(ISBLANK('Bdgt Yr 1'!B14),0,OR(C14="ORP",K14=0),(J14*H14*Constants!$N$14)+(Constants!$N$15*H14)+(J14/'Bdgt Yr 1'!B14*I14*Constants!$N$14),OR(C14="TSERS",K14=0),(J14*H14*Constants!$N$7)+(Constants!$N$8*H14)+(J14/'Bdgt Yr 1'!B14*I14*Constants!$N$7),OR(C14="Law Enforcement",K14=0),(J14*H14*Constants!$N$28)+(Constants!$N$29*H14)+(J14/'Bdgt Yr 1'!B14*I14*Constants!$N$28)),0)</f>
        <v>0</v>
      </c>
      <c r="M14" s="57">
        <f t="shared" si="1"/>
        <v>0</v>
      </c>
      <c r="N14" s="240">
        <f>'Cost-Share'!AT8</f>
        <v>0</v>
      </c>
      <c r="O14" s="238">
        <f>'Cost-Share'!AU8</f>
        <v>0</v>
      </c>
      <c r="P14" s="270">
        <f>'Cost-Share'!AV8</f>
        <v>0</v>
      </c>
      <c r="R14" s="420">
        <f t="shared" si="2"/>
        <v>0</v>
      </c>
      <c r="S14" s="421">
        <f t="shared" si="3"/>
        <v>0</v>
      </c>
      <c r="T14" s="421">
        <f t="shared" si="4"/>
        <v>0</v>
      </c>
      <c r="U14" s="422" t="str">
        <f t="shared" si="0"/>
        <v>-</v>
      </c>
    </row>
    <row r="15" spans="2:21">
      <c r="B15" s="492" t="str">
        <f>IF(ISBLANK('Bdgt Yr 1'!B15),"",'Bdgt Yr 1'!B15)</f>
        <v/>
      </c>
      <c r="C15" s="417" t="str">
        <f>IF(ISBLANK('Bdgt Yr 1'!C15),"",'Bdgt Yr 1'!C15)</f>
        <v/>
      </c>
      <c r="D15" s="693" t="str">
        <f>IF(ISBLANK('Bdgt Yr 1'!D15),"",'Bdgt Yr 1'!D15)</f>
        <v/>
      </c>
      <c r="E15" s="493" t="str">
        <f>T('Bdgt Yr 1'!E15)</f>
        <v/>
      </c>
      <c r="F15" s="986">
        <v>0</v>
      </c>
      <c r="G15" s="987"/>
      <c r="H15" s="362">
        <f>IF(ISBLANK('Bdgt Yr 1'!B15),0,(F15/'Bdgt Yr 1'!B15))</f>
        <v>0</v>
      </c>
      <c r="I15" s="26">
        <v>0</v>
      </c>
      <c r="J15" s="25">
        <f>'Bdgt Yr 4'!J15*(1+'Budget Summary'!$G$35)</f>
        <v>0</v>
      </c>
      <c r="K15" s="507">
        <f>IF(ISBLANK('Bdgt Yr 1'!B15),0,ROUNDUP((J15*H15)+(J15/'Bdgt Yr 1'!B15)*I15,0))</f>
        <v>0</v>
      </c>
      <c r="L15" s="28" cm="1">
        <f t="array" ref="L15">ROUNDUP(_xlfn.IFS(ISBLANK('Bdgt Yr 1'!B15),0,OR(C15="ORP",K15=0),(J15*H15*Constants!$N$14)+(Constants!$N$15*H15)+(J15/'Bdgt Yr 1'!B15*I15*Constants!$N$14),OR(C15="TSERS",K15=0),(J15*H15*Constants!$N$7)+(Constants!$N$8*H15)+(J15/'Bdgt Yr 1'!B15*I15*Constants!$N$7),OR(C15="Law Enforcement",K15=0),(J15*H15*Constants!$N$28)+(Constants!$N$29*H15)+(J15/'Bdgt Yr 1'!B15*I15*Constants!$N$28)),0)</f>
        <v>0</v>
      </c>
      <c r="M15" s="57">
        <f t="shared" si="1"/>
        <v>0</v>
      </c>
      <c r="N15" s="240">
        <f>'Cost-Share'!AT9</f>
        <v>0</v>
      </c>
      <c r="O15" s="238">
        <f>'Cost-Share'!AU9</f>
        <v>0</v>
      </c>
      <c r="P15" s="270">
        <f>'Cost-Share'!AV9</f>
        <v>0</v>
      </c>
      <c r="R15" s="420">
        <f t="shared" si="2"/>
        <v>0</v>
      </c>
      <c r="S15" s="421">
        <f t="shared" si="3"/>
        <v>0</v>
      </c>
      <c r="T15" s="421">
        <f t="shared" si="4"/>
        <v>0</v>
      </c>
      <c r="U15" s="422" t="str">
        <f t="shared" si="0"/>
        <v>-</v>
      </c>
    </row>
    <row r="16" spans="2:21">
      <c r="B16" s="492" t="str">
        <f>IF(ISBLANK('Bdgt Yr 1'!B16),"",'Bdgt Yr 1'!B16)</f>
        <v/>
      </c>
      <c r="C16" s="417" t="str">
        <f>IF(ISBLANK('Bdgt Yr 1'!C16),"",'Bdgt Yr 1'!C16)</f>
        <v/>
      </c>
      <c r="D16" s="693" t="str">
        <f>IF(ISBLANK('Bdgt Yr 1'!D16),"",'Bdgt Yr 1'!D16)</f>
        <v/>
      </c>
      <c r="E16" s="493" t="str">
        <f>T('Bdgt Yr 1'!E16)</f>
        <v/>
      </c>
      <c r="F16" s="986">
        <v>0</v>
      </c>
      <c r="G16" s="987"/>
      <c r="H16" s="362">
        <f>IF(ISBLANK('Bdgt Yr 1'!B16),0,(F16/'Bdgt Yr 1'!B16))</f>
        <v>0</v>
      </c>
      <c r="I16" s="425">
        <v>0</v>
      </c>
      <c r="J16" s="25">
        <f>'Bdgt Yr 4'!J16*(1+'Budget Summary'!$G$35)</f>
        <v>0</v>
      </c>
      <c r="K16" s="507">
        <f>IF(ISBLANK('Bdgt Yr 1'!B16),0,ROUNDUP((J16*H16)+(J16/'Bdgt Yr 1'!B16)*I16,0))</f>
        <v>0</v>
      </c>
      <c r="L16" s="28" cm="1">
        <f t="array" ref="L16">ROUNDUP(_xlfn.IFS(ISBLANK('Bdgt Yr 1'!B16),0,OR(C16="ORP",K16=0),(J16*H16*Constants!$N$14)+(Constants!$N$15*H16)+(J16/'Bdgt Yr 1'!B16*I16*Constants!$N$14),OR(C16="TSERS",K16=0),(J16*H16*Constants!$N$7)+(Constants!$N$8*H16)+(J16/'Bdgt Yr 1'!B16*I16*Constants!$N$7),OR(C16="Law Enforcement",K16=0),(J16*H16*Constants!$N$28)+(Constants!$N$29*H16)+(J16/'Bdgt Yr 1'!B16*I16*Constants!$N$28)),0)</f>
        <v>0</v>
      </c>
      <c r="M16" s="57">
        <f t="shared" si="1"/>
        <v>0</v>
      </c>
      <c r="N16" s="240">
        <f>'Cost-Share'!AT10</f>
        <v>0</v>
      </c>
      <c r="O16" s="238">
        <f>'Cost-Share'!AU10</f>
        <v>0</v>
      </c>
      <c r="P16" s="270">
        <f>'Cost-Share'!AV10</f>
        <v>0</v>
      </c>
      <c r="R16" s="420">
        <f t="shared" si="2"/>
        <v>0</v>
      </c>
      <c r="S16" s="421">
        <f t="shared" si="3"/>
        <v>0</v>
      </c>
      <c r="T16" s="421">
        <f t="shared" si="4"/>
        <v>0</v>
      </c>
      <c r="U16" s="422" t="str">
        <f t="shared" si="0"/>
        <v>-</v>
      </c>
    </row>
    <row r="17" spans="2:21">
      <c r="B17" s="492" t="str">
        <f>IF(ISBLANK('Bdgt Yr 1'!B17),"",'Bdgt Yr 1'!B17)</f>
        <v/>
      </c>
      <c r="C17" s="417" t="str">
        <f>IF(ISBLANK('Bdgt Yr 1'!C17),"",'Bdgt Yr 1'!C17)</f>
        <v/>
      </c>
      <c r="D17" s="693" t="str">
        <f>IF(ISBLANK('Bdgt Yr 1'!D17),"",'Bdgt Yr 1'!D17)</f>
        <v/>
      </c>
      <c r="E17" s="493" t="str">
        <f>T('Bdgt Yr 1'!E17)</f>
        <v/>
      </c>
      <c r="F17" s="986">
        <v>0</v>
      </c>
      <c r="G17" s="987"/>
      <c r="H17" s="362">
        <f>IF(ISBLANK('Bdgt Yr 1'!B17),0,(F17/'Bdgt Yr 1'!B17))</f>
        <v>0</v>
      </c>
      <c r="I17" s="425">
        <v>0</v>
      </c>
      <c r="J17" s="25">
        <f>'Bdgt Yr 4'!J17*(1+'Budget Summary'!$G$35)</f>
        <v>0</v>
      </c>
      <c r="K17" s="507">
        <f>IF(ISBLANK('Bdgt Yr 1'!B17),0,ROUNDUP((J17*H17)+(J17/'Bdgt Yr 1'!B17)*I17,0))</f>
        <v>0</v>
      </c>
      <c r="L17" s="28" cm="1">
        <f t="array" ref="L17">ROUNDUP(_xlfn.IFS(ISBLANK('Bdgt Yr 1'!B17),0,OR(C17="ORP",K17=0),(J17*H17*Constants!$N$14)+(Constants!$N$15*H17)+(J17/'Bdgt Yr 1'!B17*I17*Constants!$N$14),OR(C17="TSERS",K17=0),(J17*H17*Constants!$N$7)+(Constants!$N$8*H17)+(J17/'Bdgt Yr 1'!B17*I17*Constants!$N$7),OR(C17="Law Enforcement",K17=0),(J17*H17*Constants!$N$28)+(Constants!$N$29*H17)+(J17/'Bdgt Yr 1'!B17*I17*Constants!$N$28)),0)</f>
        <v>0</v>
      </c>
      <c r="M17" s="57">
        <f t="shared" si="1"/>
        <v>0</v>
      </c>
      <c r="N17" s="240">
        <f>'Cost-Share'!AT11</f>
        <v>0</v>
      </c>
      <c r="O17" s="238">
        <f>'Cost-Share'!AU11</f>
        <v>0</v>
      </c>
      <c r="P17" s="270">
        <f>'Cost-Share'!AV11</f>
        <v>0</v>
      </c>
      <c r="R17" s="420">
        <f t="shared" si="2"/>
        <v>0</v>
      </c>
      <c r="S17" s="421">
        <f t="shared" si="3"/>
        <v>0</v>
      </c>
      <c r="T17" s="421">
        <f t="shared" si="4"/>
        <v>0</v>
      </c>
      <c r="U17" s="422" t="str">
        <f t="shared" si="0"/>
        <v>-</v>
      </c>
    </row>
    <row r="18" spans="2:21">
      <c r="B18" s="492" t="str">
        <f>IF(ISBLANK('Bdgt Yr 1'!B18),"",'Bdgt Yr 1'!B18)</f>
        <v/>
      </c>
      <c r="C18" s="417" t="str">
        <f>IF(ISBLANK('Bdgt Yr 1'!C18),"",'Bdgt Yr 1'!C18)</f>
        <v/>
      </c>
      <c r="D18" s="693" t="str">
        <f>IF(ISBLANK('Bdgt Yr 1'!D18),"",'Bdgt Yr 1'!D18)</f>
        <v/>
      </c>
      <c r="E18" s="493" t="str">
        <f>T('Bdgt Yr 1'!E18)</f>
        <v/>
      </c>
      <c r="F18" s="986">
        <v>0</v>
      </c>
      <c r="G18" s="987"/>
      <c r="H18" s="362">
        <f>IF(ISBLANK('Bdgt Yr 1'!B18),0,(F18/'Bdgt Yr 1'!B18))</f>
        <v>0</v>
      </c>
      <c r="I18" s="425">
        <v>0</v>
      </c>
      <c r="J18" s="25">
        <f>'Bdgt Yr 4'!J18*(1+'Budget Summary'!$G$35)</f>
        <v>0</v>
      </c>
      <c r="K18" s="507">
        <f>IF(ISBLANK('Bdgt Yr 1'!B18),0,ROUNDUP((J18*H18)+(J18/'Bdgt Yr 1'!B18)*I18,0))</f>
        <v>0</v>
      </c>
      <c r="L18" s="28" cm="1">
        <f t="array" ref="L18">ROUNDUP(_xlfn.IFS(ISBLANK('Bdgt Yr 1'!B18),0,OR(C18="ORP",K18=0),(J18*H18*Constants!$N$14)+(Constants!$N$15*H18)+(J18/'Bdgt Yr 1'!B18*I18*Constants!$N$14),OR(C18="TSERS",K18=0),(J18*H18*Constants!$N$7)+(Constants!$N$8*H18)+(J18/'Bdgt Yr 1'!B18*I18*Constants!$N$7),OR(C18="Law Enforcement",K18=0),(J18*H18*Constants!$N$28)+(Constants!$N$29*H18)+(J18/'Bdgt Yr 1'!B18*I18*Constants!$N$28)),0)</f>
        <v>0</v>
      </c>
      <c r="M18" s="57">
        <f t="shared" si="1"/>
        <v>0</v>
      </c>
      <c r="N18" s="240">
        <f>'Cost-Share'!AT12</f>
        <v>0</v>
      </c>
      <c r="O18" s="238">
        <f>'Cost-Share'!AU12</f>
        <v>0</v>
      </c>
      <c r="P18" s="270">
        <f>'Cost-Share'!AV12</f>
        <v>0</v>
      </c>
      <c r="Q18" s="494"/>
      <c r="R18" s="420">
        <f t="shared" si="2"/>
        <v>0</v>
      </c>
      <c r="S18" s="421">
        <f t="shared" si="3"/>
        <v>0</v>
      </c>
      <c r="T18" s="421">
        <f t="shared" si="4"/>
        <v>0</v>
      </c>
      <c r="U18" s="422" t="str">
        <f t="shared" ref="U18:U22" si="5">IFERROR((P20/T18),"-")</f>
        <v>-</v>
      </c>
    </row>
    <row r="19" spans="2:21">
      <c r="B19" s="492" t="str">
        <f>IF(ISBLANK('Bdgt Yr 1'!B19),"",'Bdgt Yr 1'!B19)</f>
        <v/>
      </c>
      <c r="C19" s="417" t="str">
        <f>IF(ISBLANK('Bdgt Yr 1'!C19),"",'Bdgt Yr 1'!C19)</f>
        <v/>
      </c>
      <c r="D19" s="693" t="str">
        <f>IF(ISBLANK('Bdgt Yr 1'!D19),"",'Bdgt Yr 1'!D19)</f>
        <v/>
      </c>
      <c r="E19" s="493" t="str">
        <f>T('Bdgt Yr 1'!E19)</f>
        <v/>
      </c>
      <c r="F19" s="986">
        <v>0</v>
      </c>
      <c r="G19" s="987"/>
      <c r="H19" s="362">
        <f>IF(ISBLANK('Bdgt Yr 1'!B19),0,(F19/'Bdgt Yr 1'!B19))</f>
        <v>0</v>
      </c>
      <c r="I19" s="26">
        <v>0</v>
      </c>
      <c r="J19" s="25">
        <f>'Bdgt Yr 4'!J19*(1+'Budget Summary'!$G$35)</f>
        <v>0</v>
      </c>
      <c r="K19" s="507">
        <f>IF(ISBLANK('Bdgt Yr 1'!B19),0,ROUNDUP((J19*H19)+(J19/'Bdgt Yr 1'!B19)*I19,0))</f>
        <v>0</v>
      </c>
      <c r="L19" s="28" cm="1">
        <f t="array" ref="L19">ROUNDUP(_xlfn.IFS(ISBLANK('Bdgt Yr 1'!B19),0,OR(C19="ORP",K19=0),(J19*H19*Constants!$N$14)+(Constants!$N$15*H19)+(J19/'Bdgt Yr 1'!B19*I19*Constants!$N$14),OR(C19="TSERS",K19=0),(J19*H19*Constants!$N$7)+(Constants!$N$8*H19)+(J19/'Bdgt Yr 1'!B19*I19*Constants!$N$7),OR(C19="Law Enforcement",K19=0),(J19*H19*Constants!$N$28)+(Constants!$N$29*H19)+(J19/'Bdgt Yr 1'!B19*I19*Constants!$N$28)),0)</f>
        <v>0</v>
      </c>
      <c r="M19" s="57">
        <f t="shared" si="1"/>
        <v>0</v>
      </c>
      <c r="N19" s="240">
        <f>'Cost-Share'!AT13</f>
        <v>0</v>
      </c>
      <c r="O19" s="238">
        <f>'Cost-Share'!AU13</f>
        <v>0</v>
      </c>
      <c r="P19" s="270">
        <f>'Cost-Share'!AV13</f>
        <v>0</v>
      </c>
      <c r="R19" s="420">
        <f t="shared" si="2"/>
        <v>0</v>
      </c>
      <c r="S19" s="421">
        <f t="shared" si="3"/>
        <v>0</v>
      </c>
      <c r="T19" s="421">
        <f t="shared" si="4"/>
        <v>0</v>
      </c>
      <c r="U19" s="422" t="str">
        <f t="shared" si="5"/>
        <v>-</v>
      </c>
    </row>
    <row r="20" spans="2:21">
      <c r="B20" s="492" t="str">
        <f>IF(ISBLANK('Bdgt Yr 1'!B20),"",'Bdgt Yr 1'!B20)</f>
        <v/>
      </c>
      <c r="C20" s="417" t="str">
        <f>IF(ISBLANK('Bdgt Yr 1'!C20),"",'Bdgt Yr 1'!C20)</f>
        <v/>
      </c>
      <c r="D20" s="693" t="str">
        <f>IF(ISBLANK('Bdgt Yr 1'!D20),"",'Bdgt Yr 1'!D20)</f>
        <v/>
      </c>
      <c r="E20" s="493" t="str">
        <f>T('Bdgt Yr 1'!E20)</f>
        <v/>
      </c>
      <c r="F20" s="986">
        <v>0</v>
      </c>
      <c r="G20" s="987"/>
      <c r="H20" s="362">
        <f>IF(ISBLANK('Bdgt Yr 1'!B20),0,(F20/'Bdgt Yr 1'!B20))</f>
        <v>0</v>
      </c>
      <c r="I20" s="427">
        <v>0</v>
      </c>
      <c r="J20" s="25">
        <f>'Bdgt Yr 4'!J20*(1+'Budget Summary'!$G$35)</f>
        <v>0</v>
      </c>
      <c r="K20" s="507">
        <f>IF(ISBLANK('Bdgt Yr 1'!B20),0,ROUNDUP((J20*H20)+(J20/'Bdgt Yr 1'!B20)*I20,0))</f>
        <v>0</v>
      </c>
      <c r="L20" s="28" cm="1">
        <f t="array" ref="L20">ROUNDUP(_xlfn.IFS(ISBLANK('Bdgt Yr 1'!B20),0,OR(C20="ORP",K20=0),(J20*H20*Constants!$N$14)+(Constants!$N$15*H20)+(J20/'Bdgt Yr 1'!B20*I20*Constants!$N$14),OR(C20="TSERS",K20=0),(J20*H20*Constants!$N$7)+(Constants!$N$8*H20)+(J20/'Bdgt Yr 1'!B20*I20*Constants!$N$7),OR(C20="Law Enforcement",K20=0),(J20*H20*Constants!$N$28)+(Constants!$N$29*H20)+(J20/'Bdgt Yr 1'!B20*I20*Constants!$N$28)),0)</f>
        <v>0</v>
      </c>
      <c r="M20" s="57">
        <f t="shared" si="1"/>
        <v>0</v>
      </c>
      <c r="N20" s="240">
        <f>'Cost-Share'!AT14</f>
        <v>0</v>
      </c>
      <c r="O20" s="238">
        <f>'Cost-Share'!AU14</f>
        <v>0</v>
      </c>
      <c r="P20" s="270">
        <f>'Cost-Share'!AV14</f>
        <v>0</v>
      </c>
      <c r="R20" s="420">
        <f t="shared" si="2"/>
        <v>0</v>
      </c>
      <c r="S20" s="421">
        <f t="shared" si="3"/>
        <v>0</v>
      </c>
      <c r="T20" s="421">
        <f t="shared" si="4"/>
        <v>0</v>
      </c>
      <c r="U20" s="422" t="str">
        <f t="shared" si="5"/>
        <v>-</v>
      </c>
    </row>
    <row r="21" spans="2:21">
      <c r="B21" s="492" t="str">
        <f>IF(ISBLANK('Bdgt Yr 1'!B21),"",'Bdgt Yr 1'!B21)</f>
        <v/>
      </c>
      <c r="C21" s="417" t="str">
        <f>IF(ISBLANK('Bdgt Yr 1'!C21),"",'Bdgt Yr 1'!C21)</f>
        <v/>
      </c>
      <c r="D21" s="693" t="str">
        <f>IF(ISBLANK('Bdgt Yr 1'!D21),"",'Bdgt Yr 1'!D21)</f>
        <v/>
      </c>
      <c r="E21" s="493" t="str">
        <f>T('Bdgt Yr 1'!E21)</f>
        <v/>
      </c>
      <c r="F21" s="992">
        <v>0</v>
      </c>
      <c r="G21" s="993"/>
      <c r="H21" s="362">
        <f>IF(ISBLANK('Bdgt Yr 1'!B21),0,(F21/'Bdgt Yr 1'!B21))</f>
        <v>0</v>
      </c>
      <c r="I21" s="428">
        <v>0</v>
      </c>
      <c r="J21" s="25">
        <f>'Bdgt Yr 4'!J21*(1+'Budget Summary'!$G$35)</f>
        <v>0</v>
      </c>
      <c r="K21" s="507">
        <f>IF(ISBLANK('Bdgt Yr 1'!B21),0,ROUNDUP((J21*H21)+(J21/'Bdgt Yr 1'!B21)*I21,0))</f>
        <v>0</v>
      </c>
      <c r="L21" s="28" cm="1">
        <f t="array" ref="L21">ROUNDUP(_xlfn.IFS(ISBLANK('Bdgt Yr 1'!B21),0,OR(C21="ORP",K21=0),(J21*H21*Constants!$N$14)+(Constants!$N$15*H21)+(J21/'Bdgt Yr 1'!B21*I21*Constants!$N$14),OR(C21="TSERS",K21=0),(J21*H21*Constants!$N$7)+(Constants!$N$8*H21)+(J21/'Bdgt Yr 1'!B21*I21*Constants!$N$7),OR(C21="Law Enforcement",K21=0),(J21*H21*Constants!$N$28)+(Constants!$N$29*H21)+(J21/'Bdgt Yr 1'!B21*I21*Constants!$N$28)),0)</f>
        <v>0</v>
      </c>
      <c r="M21" s="57">
        <f t="shared" si="1"/>
        <v>0</v>
      </c>
      <c r="N21" s="240">
        <f>'Cost-Share'!AT15</f>
        <v>0</v>
      </c>
      <c r="O21" s="238">
        <f>'Cost-Share'!AU15</f>
        <v>0</v>
      </c>
      <c r="P21" s="270">
        <f>'Cost-Share'!AV15</f>
        <v>0</v>
      </c>
      <c r="R21" s="420">
        <f t="shared" si="2"/>
        <v>0</v>
      </c>
      <c r="S21" s="421">
        <f t="shared" si="3"/>
        <v>0</v>
      </c>
      <c r="T21" s="421">
        <f t="shared" si="4"/>
        <v>0</v>
      </c>
      <c r="U21" s="422" t="str">
        <f t="shared" si="5"/>
        <v>-</v>
      </c>
    </row>
    <row r="22" spans="2:21">
      <c r="B22" s="492" t="str">
        <f>IF(ISBLANK('Bdgt Yr 1'!B22),"",'Bdgt Yr 1'!B22)</f>
        <v/>
      </c>
      <c r="C22" s="417" t="str">
        <f>IF(ISBLANK('Bdgt Yr 1'!C22),"",'Bdgt Yr 1'!C22)</f>
        <v/>
      </c>
      <c r="D22" s="693" t="str">
        <f>IF(ISBLANK('Bdgt Yr 1'!D22),"",'Bdgt Yr 1'!D22)</f>
        <v/>
      </c>
      <c r="E22" s="493" t="str">
        <f>T('Bdgt Yr 1'!E22)</f>
        <v xml:space="preserve"> </v>
      </c>
      <c r="F22" s="992">
        <v>0</v>
      </c>
      <c r="G22" s="993"/>
      <c r="H22" s="362">
        <f>IF(ISBLANK('Bdgt Yr 1'!B22),0,(F22/'Bdgt Yr 1'!B22))</f>
        <v>0</v>
      </c>
      <c r="I22" s="429">
        <v>0</v>
      </c>
      <c r="J22" s="25">
        <f>'Bdgt Yr 4'!J22*(1+'Budget Summary'!$G$35)</f>
        <v>0</v>
      </c>
      <c r="K22" s="507">
        <f>IF(ISBLANK('Bdgt Yr 1'!B22),0,ROUNDUP((J22*H22)+(J22/'Bdgt Yr 1'!B22)*I22,0))</f>
        <v>0</v>
      </c>
      <c r="L22" s="28" cm="1">
        <f t="array" ref="L22">ROUNDUP(_xlfn.IFS(ISBLANK('Bdgt Yr 1'!B22),0,OR(C22="ORP",K22=0),(J22*H22*Constants!$N$14)+(Constants!$N$15*H22)+(J22/'Bdgt Yr 1'!B22*I22*Constants!$N$14),OR(C22="TSERS",K22=0),(J22*H22*Constants!$N$7)+(Constants!$N$8*H22)+(J22/'Bdgt Yr 1'!B22*I22*Constants!$N$7),OR(C22="Law Enforcement",K22=0),(J22*H22*Constants!$N$28)+(Constants!$N$29*H22)+(J22/'Bdgt Yr 1'!B22*I22*Constants!$N$28)),0)</f>
        <v>0</v>
      </c>
      <c r="M22" s="57">
        <f t="shared" si="1"/>
        <v>0</v>
      </c>
      <c r="N22" s="240">
        <f>'Cost-Share'!AT16</f>
        <v>0</v>
      </c>
      <c r="O22" s="238">
        <f>'Cost-Share'!AU16</f>
        <v>0</v>
      </c>
      <c r="P22" s="270">
        <f>'Cost-Share'!AV16</f>
        <v>0</v>
      </c>
      <c r="R22" s="420">
        <f t="shared" si="2"/>
        <v>0</v>
      </c>
      <c r="S22" s="421">
        <f t="shared" si="3"/>
        <v>0</v>
      </c>
      <c r="T22" s="421">
        <f t="shared" si="4"/>
        <v>0</v>
      </c>
      <c r="U22" s="422" t="str">
        <f t="shared" si="5"/>
        <v>-</v>
      </c>
    </row>
    <row r="23" spans="2:21" ht="15" customHeight="1" thickBot="1">
      <c r="B23" s="492" t="str">
        <f>IF(ISBLANK('Bdgt Yr 1'!B23),"",'Bdgt Yr 1'!B23)</f>
        <v/>
      </c>
      <c r="C23" s="417" t="str">
        <f>IF(ISBLANK('Bdgt Yr 1'!C23),"",'Bdgt Yr 1'!C23)</f>
        <v/>
      </c>
      <c r="D23" s="693" t="str">
        <f>IF(ISBLANK('Bdgt Yr 1'!D23),"",'Bdgt Yr 1'!D23)</f>
        <v/>
      </c>
      <c r="E23" s="493" t="str">
        <f>T('Bdgt Yr 1'!E23)</f>
        <v/>
      </c>
      <c r="F23" s="994">
        <v>0</v>
      </c>
      <c r="G23" s="995"/>
      <c r="H23" s="362">
        <f>IF(ISBLANK('Bdgt Yr 1'!B23),0,(F23/'Bdgt Yr 1'!B23))</f>
        <v>0</v>
      </c>
      <c r="I23" s="432">
        <v>0</v>
      </c>
      <c r="J23" s="25">
        <f>'Bdgt Yr 4'!J23*(1+'Budget Summary'!$G$35)</f>
        <v>0</v>
      </c>
      <c r="K23" s="507">
        <f>IF(ISBLANK('Bdgt Yr 1'!B23),0,ROUNDUP((J23*H23)+(J23/'Bdgt Yr 1'!B23)*I23,0))</f>
        <v>0</v>
      </c>
      <c r="L23" s="28" cm="1">
        <f t="array" ref="L23">ROUNDUP(_xlfn.IFS(ISBLANK('Bdgt Yr 1'!B23),0,OR(C23="ORP",K23=0),(J23*H23*Constants!$N$14)+(Constants!$N$15*H23)+(J23/'Bdgt Yr 1'!B23*I23*Constants!$N$14),OR(C23="TSERS",K23=0),(J23*H23*Constants!$N$7)+(Constants!$N$8*H23)+(J23/'Bdgt Yr 1'!B23*I23*Constants!$N$7),OR(C23="Law Enforcement",K23=0),(J23*H23*Constants!$N$28)+(Constants!$N$29*H23)+(J23/'Bdgt Yr 1'!B23*I23*Constants!$N$28)),0)</f>
        <v>0</v>
      </c>
      <c r="M23" s="58">
        <f t="shared" si="1"/>
        <v>0</v>
      </c>
      <c r="N23" s="240">
        <f>'Cost-Share'!AT17</f>
        <v>0</v>
      </c>
      <c r="O23" s="238">
        <f>'Cost-Share'!AU17</f>
        <v>0</v>
      </c>
      <c r="P23" s="270">
        <f>'Cost-Share'!AV17</f>
        <v>0</v>
      </c>
      <c r="R23" s="420">
        <f t="shared" si="2"/>
        <v>0</v>
      </c>
      <c r="S23" s="421">
        <f t="shared" si="3"/>
        <v>0</v>
      </c>
      <c r="T23" s="421">
        <f t="shared" si="4"/>
        <v>0</v>
      </c>
      <c r="U23" s="422" t="str">
        <f>IFERROR((#REF!/T23),"-")</f>
        <v>-</v>
      </c>
    </row>
    <row r="24" spans="2:21" ht="15" thickBot="1">
      <c r="B24" s="990" t="s">
        <v>155</v>
      </c>
      <c r="C24" s="991"/>
      <c r="D24" s="991"/>
      <c r="E24" s="991"/>
      <c r="F24" s="991"/>
      <c r="G24" s="991"/>
      <c r="H24" s="991"/>
      <c r="I24" s="991"/>
      <c r="J24" s="991"/>
      <c r="K24" s="276">
        <f t="shared" ref="K24:P24" si="6">SUM(K12:K23)</f>
        <v>0</v>
      </c>
      <c r="L24" s="277">
        <f t="shared" si="6"/>
        <v>0</v>
      </c>
      <c r="M24" s="278">
        <f t="shared" si="6"/>
        <v>0</v>
      </c>
      <c r="N24" s="272">
        <f t="shared" si="6"/>
        <v>0</v>
      </c>
      <c r="O24" s="273">
        <f t="shared" si="6"/>
        <v>0</v>
      </c>
      <c r="P24" s="274">
        <f t="shared" si="6"/>
        <v>0</v>
      </c>
      <c r="R24" s="434">
        <f>SUM(R12:R23)</f>
        <v>0</v>
      </c>
      <c r="S24" s="435">
        <f>SUM(S12:S23)</f>
        <v>0</v>
      </c>
      <c r="T24" s="435">
        <f>SUM(T12:T23)</f>
        <v>0</v>
      </c>
      <c r="U24" s="436"/>
    </row>
    <row r="25" spans="2:21" ht="7.5" customHeight="1">
      <c r="B25" s="960"/>
      <c r="C25" s="960"/>
      <c r="D25" s="960"/>
      <c r="E25" s="960"/>
      <c r="F25" s="960"/>
      <c r="G25" s="960"/>
      <c r="H25" s="960"/>
      <c r="I25" s="960"/>
      <c r="J25" s="960"/>
      <c r="K25" s="960"/>
      <c r="L25" s="960"/>
      <c r="M25" s="960"/>
    </row>
    <row r="26" spans="2:21" s="398" customFormat="1" ht="15.75" customHeight="1" thickBot="1">
      <c r="B26" s="985" t="s">
        <v>156</v>
      </c>
      <c r="C26" s="985"/>
      <c r="D26" s="985"/>
      <c r="E26" s="985"/>
      <c r="F26" s="985"/>
      <c r="G26" s="985"/>
      <c r="H26" s="985"/>
      <c r="I26" s="985"/>
      <c r="J26" s="985"/>
      <c r="K26" s="985"/>
      <c r="L26" s="985"/>
      <c r="M26" s="985"/>
      <c r="N26" s="985"/>
      <c r="O26" s="985"/>
      <c r="P26" s="985"/>
      <c r="Q26" s="23"/>
      <c r="R26" s="974"/>
      <c r="S26" s="974"/>
      <c r="T26" s="974"/>
      <c r="U26" s="974"/>
    </row>
    <row r="27" spans="2:21" ht="7.5" customHeight="1">
      <c r="B27" s="960"/>
      <c r="C27" s="960"/>
      <c r="D27" s="960"/>
      <c r="E27" s="960"/>
      <c r="F27" s="960"/>
      <c r="G27" s="960"/>
      <c r="H27" s="960"/>
      <c r="I27" s="960"/>
      <c r="J27" s="960"/>
      <c r="K27" s="960"/>
      <c r="L27" s="960"/>
      <c r="M27" s="960"/>
    </row>
    <row r="28" spans="2:21" ht="28.5" customHeight="1">
      <c r="B28" s="988" t="s">
        <v>157</v>
      </c>
      <c r="C28" s="989"/>
      <c r="D28" s="989"/>
      <c r="E28" s="989"/>
      <c r="F28" s="989"/>
      <c r="G28" s="989"/>
      <c r="H28" s="989"/>
      <c r="I28" s="989"/>
      <c r="J28" s="989"/>
      <c r="K28" s="989"/>
      <c r="L28" s="989"/>
      <c r="M28" s="1089"/>
      <c r="N28" s="1043" t="s">
        <v>134</v>
      </c>
      <c r="O28" s="1044"/>
      <c r="P28" s="1045"/>
      <c r="R28" s="975" t="s">
        <v>135</v>
      </c>
      <c r="S28" s="976"/>
      <c r="T28" s="976"/>
      <c r="U28" s="977"/>
    </row>
    <row r="29" spans="2:21" ht="29.25" customHeight="1">
      <c r="B29" s="980" t="s">
        <v>158</v>
      </c>
      <c r="C29" s="981"/>
      <c r="D29" s="1519" t="s">
        <v>159</v>
      </c>
      <c r="E29" s="1520"/>
      <c r="F29" s="1520"/>
      <c r="G29" s="1521"/>
      <c r="H29" s="229" t="s">
        <v>140</v>
      </c>
      <c r="I29" s="437" t="s">
        <v>160</v>
      </c>
      <c r="J29" s="438" t="s">
        <v>143</v>
      </c>
      <c r="K29" s="439" t="s">
        <v>161</v>
      </c>
      <c r="L29" s="439" t="s">
        <v>145</v>
      </c>
      <c r="M29" s="530" t="s">
        <v>146</v>
      </c>
      <c r="N29" s="263" t="s">
        <v>147</v>
      </c>
      <c r="O29" s="239" t="s">
        <v>148</v>
      </c>
      <c r="P29" s="271" t="s">
        <v>149</v>
      </c>
      <c r="R29" s="414" t="s">
        <v>150</v>
      </c>
      <c r="S29" s="415" t="s">
        <v>151</v>
      </c>
      <c r="T29" s="415" t="s">
        <v>152</v>
      </c>
      <c r="U29" s="441" t="s">
        <v>153</v>
      </c>
    </row>
    <row r="30" spans="2:21" ht="15" customHeight="1">
      <c r="B30" s="982" t="str">
        <f>'Bdgt Yr 1'!B30</f>
        <v>Non-Student Temp - 131010</v>
      </c>
      <c r="C30" s="983"/>
      <c r="D30" s="1129" t="str">
        <f>T('Bdgt Yr 1'!D30)</f>
        <v xml:space="preserve"> </v>
      </c>
      <c r="E30" s="1130"/>
      <c r="F30" s="1130"/>
      <c r="G30" s="1131"/>
      <c r="H30" s="443">
        <v>0</v>
      </c>
      <c r="I30" s="495">
        <f>H30/12</f>
        <v>0</v>
      </c>
      <c r="J30" s="25">
        <f>'Bdgt Yr 4'!J30*(1+'Budget Summary'!$G$35)</f>
        <v>0</v>
      </c>
      <c r="K30" s="337">
        <f>J30*I30</f>
        <v>0</v>
      </c>
      <c r="L30" s="34">
        <f>ROUNDUP(IF(I30=0, Constants!$N$21*H30, 0) + (K30*Constants!$N$20) + (Constants!$N$21*ROUNDUP(H30, 0)), 0)</f>
        <v>0</v>
      </c>
      <c r="M30" s="138">
        <f>(+K30+L30)</f>
        <v>0</v>
      </c>
      <c r="N30" s="240">
        <f>'Cost-Share'!AT21</f>
        <v>0</v>
      </c>
      <c r="O30" s="238">
        <f>'Cost-Share'!AU21</f>
        <v>0</v>
      </c>
      <c r="P30" s="270">
        <f>'Cost-Share'!AV21</f>
        <v>0</v>
      </c>
      <c r="R30" s="420">
        <f>K30+N30</f>
        <v>0</v>
      </c>
      <c r="S30" s="421">
        <f>L30+O30</f>
        <v>0</v>
      </c>
      <c r="T30" s="421">
        <f>M30+P30</f>
        <v>0</v>
      </c>
      <c r="U30" s="422" t="str">
        <f>IFERROR((P37/T30),"-")</f>
        <v>-</v>
      </c>
    </row>
    <row r="31" spans="2:21" ht="15.75" customHeight="1">
      <c r="B31" s="978" t="str">
        <f>'Bdgt Yr 1'!B31</f>
        <v>Non-Student Temp - 131010</v>
      </c>
      <c r="C31" s="979"/>
      <c r="D31" s="1132" t="str">
        <f>T('Bdgt Yr 1'!D31)</f>
        <v xml:space="preserve"> </v>
      </c>
      <c r="E31" s="1133"/>
      <c r="F31" s="1133"/>
      <c r="G31" s="1134"/>
      <c r="H31" s="531">
        <f>F31*12</f>
        <v>0</v>
      </c>
      <c r="I31" s="536">
        <f>H31/12</f>
        <v>0</v>
      </c>
      <c r="J31" s="537">
        <f>'Bdgt Yr 4'!J31*(1+'Budget Summary'!$G$35)</f>
        <v>0</v>
      </c>
      <c r="K31" s="534">
        <f>J31*I31</f>
        <v>0</v>
      </c>
      <c r="L31" s="697">
        <f>ROUNDUP(IF(I31=0, Constants!$N$21*H31, 0) + (K31*Constants!$N$20) + (Constants!$N$21*ROUNDUP(H31, 0)), 0)</f>
        <v>0</v>
      </c>
      <c r="M31" s="535">
        <f>(+K31+L31)</f>
        <v>0</v>
      </c>
      <c r="N31" s="538">
        <f>'Cost-Share'!AT22</f>
        <v>0</v>
      </c>
      <c r="O31" s="539">
        <f>'Cost-Share'!AU22</f>
        <v>0</v>
      </c>
      <c r="P31" s="540">
        <f>'Cost-Share'!AV22</f>
        <v>0</v>
      </c>
      <c r="R31" s="497">
        <f t="shared" ref="R31" si="7">K31+N31</f>
        <v>0</v>
      </c>
      <c r="S31" s="498">
        <f t="shared" ref="S31" si="8">L31+O31</f>
        <v>0</v>
      </c>
      <c r="T31" s="498">
        <f t="shared" ref="T31" si="9">M31+P31</f>
        <v>0</v>
      </c>
      <c r="U31" s="499" t="str">
        <f>IFERROR((P38/T31),"-")</f>
        <v>-</v>
      </c>
    </row>
    <row r="32" spans="2:21" ht="7.5" customHeight="1">
      <c r="B32" s="960"/>
      <c r="C32" s="960"/>
      <c r="D32" s="960"/>
      <c r="E32" s="960"/>
      <c r="F32" s="960"/>
      <c r="G32" s="960"/>
      <c r="H32" s="960"/>
      <c r="I32" s="960"/>
      <c r="J32" s="960"/>
      <c r="K32" s="960"/>
      <c r="L32" s="960"/>
      <c r="M32" s="960"/>
    </row>
    <row r="33" spans="2:23" s="398" customFormat="1" ht="15.75" customHeight="1" thickBot="1">
      <c r="B33" s="985" t="s">
        <v>163</v>
      </c>
      <c r="C33" s="985"/>
      <c r="D33" s="985"/>
      <c r="E33" s="985"/>
      <c r="F33" s="985"/>
      <c r="G33" s="985"/>
      <c r="H33" s="985"/>
      <c r="I33" s="985"/>
      <c r="J33" s="985"/>
      <c r="K33" s="985"/>
      <c r="L33" s="985"/>
      <c r="M33" s="985"/>
      <c r="N33" s="985"/>
      <c r="O33" s="985"/>
      <c r="P33" s="985"/>
      <c r="Q33" s="23"/>
      <c r="R33" s="974"/>
      <c r="S33" s="974"/>
      <c r="T33" s="974"/>
      <c r="U33" s="974"/>
    </row>
    <row r="34" spans="2:23" ht="7.5" customHeight="1" thickBot="1">
      <c r="B34" s="960"/>
      <c r="C34" s="960"/>
      <c r="D34" s="960"/>
      <c r="E34" s="960"/>
      <c r="F34" s="960"/>
      <c r="G34" s="960"/>
      <c r="H34" s="960"/>
      <c r="I34" s="960"/>
      <c r="J34" s="960"/>
      <c r="K34" s="960"/>
      <c r="L34" s="960"/>
      <c r="M34" s="960"/>
    </row>
    <row r="35" spans="2:23" ht="28.5" customHeight="1">
      <c r="B35" s="1098" t="s">
        <v>164</v>
      </c>
      <c r="C35" s="1135"/>
      <c r="D35" s="1135"/>
      <c r="E35" s="1135"/>
      <c r="F35" s="1135"/>
      <c r="G35" s="1135"/>
      <c r="H35" s="1135"/>
      <c r="I35" s="1135"/>
      <c r="J35" s="1135"/>
      <c r="K35" s="1135"/>
      <c r="L35" s="1135"/>
      <c r="M35" s="1136"/>
      <c r="N35" s="1093" t="s">
        <v>134</v>
      </c>
      <c r="O35" s="1094"/>
      <c r="P35" s="1095"/>
      <c r="Q35" s="410"/>
      <c r="R35" s="975" t="s">
        <v>135</v>
      </c>
      <c r="S35" s="976"/>
      <c r="T35" s="976"/>
      <c r="U35" s="977"/>
      <c r="V35" s="529"/>
      <c r="W35" s="528"/>
    </row>
    <row r="36" spans="2:23" ht="29.25" customHeight="1">
      <c r="B36" s="980" t="s">
        <v>158</v>
      </c>
      <c r="C36" s="981"/>
      <c r="D36" s="1528" t="s">
        <v>159</v>
      </c>
      <c r="E36" s="1529"/>
      <c r="F36" s="1529"/>
      <c r="G36" s="1530"/>
      <c r="H36" s="1001" t="s">
        <v>165</v>
      </c>
      <c r="I36" s="1002"/>
      <c r="J36" s="438" t="s">
        <v>166</v>
      </c>
      <c r="K36" s="439" t="s">
        <v>161</v>
      </c>
      <c r="L36" s="439" t="s">
        <v>145</v>
      </c>
      <c r="M36" s="440" t="s">
        <v>146</v>
      </c>
      <c r="N36" s="263" t="s">
        <v>147</v>
      </c>
      <c r="O36" s="239" t="s">
        <v>148</v>
      </c>
      <c r="P36" s="271" t="s">
        <v>149</v>
      </c>
      <c r="R36" s="414" t="s">
        <v>150</v>
      </c>
      <c r="S36" s="415" t="s">
        <v>151</v>
      </c>
      <c r="T36" s="415" t="s">
        <v>152</v>
      </c>
      <c r="U36" s="416" t="s">
        <v>153</v>
      </c>
    </row>
    <row r="37" spans="2:23" ht="15" customHeight="1">
      <c r="B37" s="982">
        <f>'Bdgt Yr 1'!B37</f>
        <v>131010</v>
      </c>
      <c r="C37" s="983"/>
      <c r="D37" s="1129" t="str">
        <f>T('Bdgt Yr 1'!D37)</f>
        <v xml:space="preserve"> </v>
      </c>
      <c r="E37" s="1130"/>
      <c r="F37" s="1130"/>
      <c r="G37" s="1131"/>
      <c r="H37" s="1003">
        <f>'Bdgt Yr 4'!H37*(1+'Budget Summary'!$G$35)</f>
        <v>0</v>
      </c>
      <c r="I37" s="1004"/>
      <c r="J37" s="25">
        <f>'Bdgt Yr 4'!J37*(1+'Budget Summary'!$G$35)</f>
        <v>0</v>
      </c>
      <c r="K37" s="34">
        <f>ROUNDUP((H37*J37),0)</f>
        <v>0</v>
      </c>
      <c r="L37" s="695">
        <f>ROUNDUP((K37*Constants!$N$20),0)</f>
        <v>0</v>
      </c>
      <c r="M37" s="59">
        <f>(+K37+L37)</f>
        <v>0</v>
      </c>
      <c r="N37" s="240">
        <f>'Cost-Share'!AT25</f>
        <v>0</v>
      </c>
      <c r="O37" s="238">
        <f>'Cost-Share'!AU25</f>
        <v>0</v>
      </c>
      <c r="P37" s="270">
        <f>'Cost-Share'!AV25</f>
        <v>0</v>
      </c>
      <c r="R37" s="420">
        <f>K37+N37</f>
        <v>0</v>
      </c>
      <c r="S37" s="421">
        <f>L37+O37</f>
        <v>0</v>
      </c>
      <c r="T37" s="421">
        <f>M37+P37</f>
        <v>0</v>
      </c>
      <c r="U37" s="422" t="str">
        <f>IFERROR((P44/T37),"-")</f>
        <v>-</v>
      </c>
    </row>
    <row r="38" spans="2:23" ht="15.75" customHeight="1" thickBot="1">
      <c r="B38" s="978">
        <f>'Bdgt Yr 1'!B38</f>
        <v>131010</v>
      </c>
      <c r="C38" s="979"/>
      <c r="D38" s="1132" t="str">
        <f>T('Bdgt Yr 1'!D38)</f>
        <v xml:space="preserve"> </v>
      </c>
      <c r="E38" s="1133"/>
      <c r="F38" s="1133"/>
      <c r="G38" s="1134"/>
      <c r="H38" s="1096">
        <v>0</v>
      </c>
      <c r="I38" s="1097"/>
      <c r="J38" s="25">
        <f>'Bdgt Yr 4'!J38*(1+'Budget Summary'!$G$35)</f>
        <v>0</v>
      </c>
      <c r="K38" s="34">
        <f>ROUNDUP((H38*J38),0)</f>
        <v>0</v>
      </c>
      <c r="L38" s="31">
        <f>ROUNDUP((K38*Constants!$N$20),0)</f>
        <v>0</v>
      </c>
      <c r="M38" s="61">
        <f>(+K38+L38)</f>
        <v>0</v>
      </c>
      <c r="N38" s="240">
        <f>'Cost-Share'!AT26</f>
        <v>0</v>
      </c>
      <c r="O38" s="238">
        <f>'Cost-Share'!AU26</f>
        <v>0</v>
      </c>
      <c r="P38" s="270">
        <f>'Cost-Share'!AV26</f>
        <v>0</v>
      </c>
      <c r="R38" s="420">
        <f t="shared" ref="R38" si="10">K38+N38</f>
        <v>0</v>
      </c>
      <c r="S38" s="421">
        <f t="shared" ref="S38" si="11">L38+O38</f>
        <v>0</v>
      </c>
      <c r="T38" s="421">
        <f t="shared" ref="T38" si="12">M38+P38</f>
        <v>0</v>
      </c>
      <c r="U38" s="422" t="str">
        <f>IFERROR((P45/T38),"-")</f>
        <v>-</v>
      </c>
    </row>
    <row r="39" spans="2:23" ht="15" thickBot="1">
      <c r="B39" s="990" t="s">
        <v>167</v>
      </c>
      <c r="C39" s="991"/>
      <c r="D39" s="991"/>
      <c r="E39" s="991"/>
      <c r="F39" s="991"/>
      <c r="G39" s="991"/>
      <c r="H39" s="991"/>
      <c r="I39" s="991"/>
      <c r="J39" s="991"/>
      <c r="K39" s="276">
        <f>SUM(K30:K38)</f>
        <v>0</v>
      </c>
      <c r="L39" s="277">
        <f>SUM(L30:L38)</f>
        <v>0</v>
      </c>
      <c r="M39" s="279">
        <f>SUM(M30:M38)</f>
        <v>0</v>
      </c>
      <c r="N39" s="288">
        <f t="shared" ref="N39:O39" si="13">SUM(N30:N38)</f>
        <v>0</v>
      </c>
      <c r="O39" s="282">
        <f t="shared" si="13"/>
        <v>0</v>
      </c>
      <c r="P39" s="283">
        <f>SUM(P30:P38)</f>
        <v>0</v>
      </c>
      <c r="Q39" s="410"/>
      <c r="R39" s="434">
        <f>SUM(R30:R38)</f>
        <v>0</v>
      </c>
      <c r="S39" s="446">
        <f>SUM(S30:S38)</f>
        <v>0</v>
      </c>
      <c r="T39" s="446">
        <f>SUM(T30:T38)</f>
        <v>0</v>
      </c>
      <c r="U39" s="447"/>
    </row>
    <row r="40" spans="2:23" ht="7.5" customHeight="1">
      <c r="B40" s="960"/>
      <c r="C40" s="960"/>
      <c r="D40" s="960"/>
      <c r="E40" s="960"/>
      <c r="F40" s="960"/>
      <c r="G40" s="960"/>
      <c r="H40" s="960"/>
      <c r="I40" s="960"/>
      <c r="J40" s="960"/>
      <c r="K40" s="960"/>
      <c r="L40" s="960"/>
      <c r="M40" s="960"/>
    </row>
    <row r="41" spans="2:23" s="398" customFormat="1" ht="15.75" customHeight="1" thickBot="1">
      <c r="B41" s="985" t="s">
        <v>168</v>
      </c>
      <c r="C41" s="985"/>
      <c r="D41" s="985"/>
      <c r="E41" s="985"/>
      <c r="F41" s="985"/>
      <c r="G41" s="985"/>
      <c r="H41" s="985"/>
      <c r="I41" s="985"/>
      <c r="J41" s="985"/>
      <c r="K41" s="985"/>
      <c r="L41" s="985"/>
      <c r="M41" s="985"/>
      <c r="N41" s="985"/>
      <c r="O41" s="985"/>
      <c r="P41" s="985"/>
      <c r="Q41" s="23"/>
      <c r="R41" s="974"/>
      <c r="S41" s="974"/>
      <c r="T41" s="974"/>
      <c r="U41" s="974"/>
    </row>
    <row r="42" spans="2:23" ht="7.5" customHeight="1">
      <c r="B42" s="960"/>
      <c r="C42" s="960"/>
      <c r="D42" s="960"/>
      <c r="E42" s="960"/>
      <c r="F42" s="960"/>
      <c r="G42" s="960"/>
      <c r="H42" s="960"/>
      <c r="I42" s="960"/>
      <c r="J42" s="960"/>
      <c r="K42" s="960"/>
      <c r="L42" s="960"/>
      <c r="M42" s="960"/>
    </row>
    <row r="43" spans="2:23" ht="42" customHeight="1">
      <c r="B43" s="1068" t="s">
        <v>169</v>
      </c>
      <c r="C43" s="1069"/>
      <c r="D43" s="1069"/>
      <c r="E43" s="1069"/>
      <c r="F43" s="1069"/>
      <c r="G43" s="1069"/>
      <c r="H43" s="1069"/>
      <c r="I43" s="1069"/>
      <c r="J43" s="1069"/>
      <c r="K43" s="1069"/>
      <c r="L43" s="1069"/>
      <c r="M43" s="1069"/>
      <c r="N43" s="1063" t="s">
        <v>134</v>
      </c>
      <c r="O43" s="1064"/>
      <c r="P43" s="1065"/>
      <c r="R43" s="1080" t="s">
        <v>135</v>
      </c>
      <c r="S43" s="1081"/>
      <c r="T43" s="1081"/>
      <c r="U43" s="1082"/>
    </row>
    <row r="44" spans="2:23" ht="28.5" customHeight="1">
      <c r="B44" s="980" t="s">
        <v>158</v>
      </c>
      <c r="C44" s="981"/>
      <c r="D44" s="1528" t="s">
        <v>159</v>
      </c>
      <c r="E44" s="1529"/>
      <c r="F44" s="1529"/>
      <c r="G44" s="1531"/>
      <c r="H44" s="449" t="s">
        <v>170</v>
      </c>
      <c r="I44" s="449" t="s">
        <v>171</v>
      </c>
      <c r="J44" s="438" t="s">
        <v>166</v>
      </c>
      <c r="K44" s="450" t="s">
        <v>144</v>
      </c>
      <c r="L44" s="450" t="s">
        <v>145</v>
      </c>
      <c r="M44" s="451" t="s">
        <v>146</v>
      </c>
      <c r="N44" s="263" t="s">
        <v>147</v>
      </c>
      <c r="O44" s="239" t="s">
        <v>148</v>
      </c>
      <c r="P44" s="271" t="s">
        <v>149</v>
      </c>
      <c r="R44" s="414" t="s">
        <v>150</v>
      </c>
      <c r="S44" s="415" t="s">
        <v>151</v>
      </c>
      <c r="T44" s="415" t="s">
        <v>152</v>
      </c>
      <c r="U44" s="441" t="s">
        <v>153</v>
      </c>
    </row>
    <row r="45" spans="2:23" ht="15" customHeight="1">
      <c r="B45" s="982">
        <v>135050</v>
      </c>
      <c r="C45" s="983"/>
      <c r="D45" s="1532" t="s">
        <v>172</v>
      </c>
      <c r="E45" s="1533"/>
      <c r="F45" s="1533"/>
      <c r="G45" s="1534"/>
      <c r="H45" s="453">
        <v>0</v>
      </c>
      <c r="I45" s="453">
        <v>0</v>
      </c>
      <c r="J45" s="454">
        <v>0</v>
      </c>
      <c r="K45" s="25">
        <f>(+H45+I45)*J45</f>
        <v>0</v>
      </c>
      <c r="L45" s="25">
        <f>ROUNDUP((((I45*J45)*Constants!$N$20)+((H45*J45)*Constants!$N$18)),0)</f>
        <v>0</v>
      </c>
      <c r="M45" s="133">
        <f>(+K45+L45)</f>
        <v>0</v>
      </c>
      <c r="N45" s="240">
        <f>'Cost-Share'!AT30</f>
        <v>0</v>
      </c>
      <c r="O45" s="238">
        <f>'Cost-Share'!AU30</f>
        <v>0</v>
      </c>
      <c r="P45" s="270">
        <f>'Cost-Share'!AV30</f>
        <v>0</v>
      </c>
      <c r="R45" s="420">
        <f>K45+N45</f>
        <v>0</v>
      </c>
      <c r="S45" s="421">
        <f>L45+O45</f>
        <v>0</v>
      </c>
      <c r="T45" s="421">
        <f>M45+P45</f>
        <v>0</v>
      </c>
      <c r="U45" s="422" t="str">
        <f>IFERROR((P49/T45),"-")</f>
        <v>-</v>
      </c>
    </row>
    <row r="46" spans="2:23" ht="15" customHeight="1">
      <c r="B46" s="982">
        <v>135050</v>
      </c>
      <c r="C46" s="983"/>
      <c r="D46" s="1532" t="s">
        <v>172</v>
      </c>
      <c r="E46" s="1533"/>
      <c r="F46" s="1533"/>
      <c r="G46" s="1534"/>
      <c r="H46" s="456">
        <v>0</v>
      </c>
      <c r="I46" s="456">
        <v>0</v>
      </c>
      <c r="J46" s="454">
        <v>0</v>
      </c>
      <c r="K46" s="25">
        <f t="shared" ref="K46:K48" si="14">(+H46+I46)*J46</f>
        <v>0</v>
      </c>
      <c r="L46" s="25">
        <f>ROUNDUP((((I46*J46)*Constants!$N$20)+((H46*J46)*Constants!$N$18)),0)</f>
        <v>0</v>
      </c>
      <c r="M46" s="134">
        <f t="shared" ref="M46:M47" si="15">(+K46+L46)</f>
        <v>0</v>
      </c>
      <c r="N46" s="240">
        <f>'Cost-Share'!AT31</f>
        <v>0</v>
      </c>
      <c r="O46" s="238">
        <f>'Cost-Share'!AU31</f>
        <v>0</v>
      </c>
      <c r="P46" s="270">
        <f>'Cost-Share'!AV31</f>
        <v>0</v>
      </c>
      <c r="R46" s="420">
        <f t="shared" ref="R46" si="16">K46+N46</f>
        <v>0</v>
      </c>
      <c r="S46" s="421">
        <f t="shared" ref="S46" si="17">L46+O46</f>
        <v>0</v>
      </c>
      <c r="T46" s="421">
        <f t="shared" ref="T46" si="18">M46+P46</f>
        <v>0</v>
      </c>
      <c r="U46" s="422" t="str">
        <f>IFERROR((P50/T46),"-")</f>
        <v>-</v>
      </c>
    </row>
    <row r="47" spans="2:23" ht="15" customHeight="1">
      <c r="B47" s="982">
        <v>135050</v>
      </c>
      <c r="C47" s="983"/>
      <c r="D47" s="1532" t="s">
        <v>173</v>
      </c>
      <c r="E47" s="1533"/>
      <c r="F47" s="1533"/>
      <c r="G47" s="1534"/>
      <c r="H47" s="457">
        <v>0</v>
      </c>
      <c r="I47" s="457">
        <v>0</v>
      </c>
      <c r="J47" s="454">
        <v>0</v>
      </c>
      <c r="K47" s="25">
        <f t="shared" si="14"/>
        <v>0</v>
      </c>
      <c r="L47" s="25">
        <f>ROUNDUP((((I47*J47)*Constants!$N$20)+((H47*J47)*Constants!$N$18)),0)</f>
        <v>0</v>
      </c>
      <c r="M47" s="134">
        <f t="shared" si="15"/>
        <v>0</v>
      </c>
      <c r="N47" s="240">
        <f>'Cost-Share'!AT32</f>
        <v>0</v>
      </c>
      <c r="O47" s="238">
        <f>'Cost-Share'!AU32</f>
        <v>0</v>
      </c>
      <c r="P47" s="270">
        <f>'Cost-Share'!AV32</f>
        <v>0</v>
      </c>
      <c r="Q47" s="448"/>
      <c r="R47" s="420">
        <f>K47+N47</f>
        <v>0</v>
      </c>
      <c r="S47" s="421">
        <f>L47+O47</f>
        <v>0</v>
      </c>
      <c r="T47" s="421">
        <f>M47+P47</f>
        <v>0</v>
      </c>
      <c r="U47" s="422" t="str">
        <f>IFERROR((P51/T47),"-")</f>
        <v>-</v>
      </c>
    </row>
    <row r="48" spans="2:23" ht="15" customHeight="1">
      <c r="B48" s="982">
        <v>135050</v>
      </c>
      <c r="C48" s="983"/>
      <c r="D48" s="1532" t="s">
        <v>173</v>
      </c>
      <c r="E48" s="1533"/>
      <c r="F48" s="1533"/>
      <c r="G48" s="1534"/>
      <c r="H48" s="458">
        <v>0</v>
      </c>
      <c r="I48" s="458">
        <v>0</v>
      </c>
      <c r="J48" s="459">
        <v>0</v>
      </c>
      <c r="K48" s="25">
        <f t="shared" si="14"/>
        <v>0</v>
      </c>
      <c r="L48" s="25">
        <f>ROUNDUP((((I48*J48)*Constants!$N$20)+((H48*J48)*Constants!$N$18)),0)</f>
        <v>0</v>
      </c>
      <c r="M48" s="60">
        <f>(+K48+L48)</f>
        <v>0</v>
      </c>
      <c r="N48" s="240">
        <f>'Cost-Share'!AT33</f>
        <v>0</v>
      </c>
      <c r="O48" s="238">
        <f>'Cost-Share'!AU33</f>
        <v>0</v>
      </c>
      <c r="P48" s="270">
        <f>'Cost-Share'!AV33</f>
        <v>0</v>
      </c>
      <c r="R48" s="420">
        <f t="shared" ref="R48" si="19">K48+N48</f>
        <v>0</v>
      </c>
      <c r="S48" s="421">
        <f t="shared" ref="S48" si="20">L48+O48</f>
        <v>0</v>
      </c>
      <c r="T48" s="421">
        <f t="shared" ref="T48" si="21">M48+P48</f>
        <v>0</v>
      </c>
      <c r="U48" s="422" t="str">
        <f>IFERROR((#REF!/T48),"-")</f>
        <v>-</v>
      </c>
    </row>
    <row r="49" spans="2:21" ht="15" customHeight="1">
      <c r="B49" s="982"/>
      <c r="C49" s="983"/>
      <c r="D49" s="998"/>
      <c r="E49" s="999"/>
      <c r="F49" s="999"/>
      <c r="G49" s="1000"/>
      <c r="H49" s="1085" t="s">
        <v>174</v>
      </c>
      <c r="I49" s="1086"/>
      <c r="J49" s="461" t="s">
        <v>175</v>
      </c>
      <c r="K49" s="1090"/>
      <c r="L49" s="460" t="s">
        <v>145</v>
      </c>
      <c r="M49" s="460" t="s">
        <v>146</v>
      </c>
      <c r="N49" s="243" t="s">
        <v>176</v>
      </c>
      <c r="O49" s="244" t="s">
        <v>145</v>
      </c>
      <c r="P49" s="293" t="s">
        <v>146</v>
      </c>
      <c r="R49" s="496" t="s">
        <v>176</v>
      </c>
      <c r="S49" s="463" t="s">
        <v>145</v>
      </c>
      <c r="T49" s="463" t="s">
        <v>152</v>
      </c>
      <c r="U49" s="464" t="s">
        <v>153</v>
      </c>
    </row>
    <row r="50" spans="2:21" ht="15" customHeight="1">
      <c r="B50" s="982">
        <v>135050</v>
      </c>
      <c r="C50" s="983"/>
      <c r="D50" s="1532" t="s">
        <v>177</v>
      </c>
      <c r="E50" s="1533"/>
      <c r="F50" s="1533"/>
      <c r="G50" s="1534"/>
      <c r="H50" s="1087">
        <v>0</v>
      </c>
      <c r="I50" s="1088"/>
      <c r="J50" s="465">
        <v>0</v>
      </c>
      <c r="K50" s="1091"/>
      <c r="L50" s="60">
        <f>ROUNDUP(((J50*Constants!$N$20)+(H50*Constants!$N$18)),0)</f>
        <v>0</v>
      </c>
      <c r="M50" s="60">
        <f>(H50+J50+L50)</f>
        <v>0</v>
      </c>
      <c r="N50" s="240">
        <f>'Cost-Share'!AT35</f>
        <v>0</v>
      </c>
      <c r="O50" s="238">
        <f>'Cost-Share'!AU35</f>
        <v>0</v>
      </c>
      <c r="P50" s="270">
        <f>'Cost-Share'!AV35</f>
        <v>0</v>
      </c>
      <c r="R50" s="420">
        <f>K50+N50</f>
        <v>0</v>
      </c>
      <c r="S50" s="421">
        <f>L50+O50</f>
        <v>0</v>
      </c>
      <c r="T50" s="421">
        <f>M50+P50</f>
        <v>0</v>
      </c>
      <c r="U50" s="422" t="str">
        <f>IFERROR((#REF!/T50),"-")</f>
        <v>-</v>
      </c>
    </row>
    <row r="51" spans="2:21" ht="14.25" customHeight="1" thickBot="1">
      <c r="B51" s="982">
        <v>135050</v>
      </c>
      <c r="C51" s="983"/>
      <c r="D51" s="1525" t="s">
        <v>177</v>
      </c>
      <c r="E51" s="1526"/>
      <c r="F51" s="1526"/>
      <c r="G51" s="1527"/>
      <c r="H51" s="1083">
        <v>0</v>
      </c>
      <c r="I51" s="1084"/>
      <c r="J51" s="466">
        <v>0</v>
      </c>
      <c r="K51" s="1092"/>
      <c r="L51" s="60">
        <f>(J51*Constants!$N$20)+(H51*Constants!$N$18)</f>
        <v>0</v>
      </c>
      <c r="M51" s="60">
        <f>(H51+J51+L51)</f>
        <v>0</v>
      </c>
      <c r="N51" s="240">
        <f>'Cost-Share'!AT36</f>
        <v>0</v>
      </c>
      <c r="O51" s="238">
        <f>'Cost-Share'!AU36</f>
        <v>0</v>
      </c>
      <c r="P51" s="270">
        <f>'Cost-Share'!AV36</f>
        <v>0</v>
      </c>
      <c r="R51" s="497">
        <f t="shared" ref="R51" si="22">K51+N51</f>
        <v>0</v>
      </c>
      <c r="S51" s="498">
        <f t="shared" ref="S51" si="23">L51+O51</f>
        <v>0</v>
      </c>
      <c r="T51" s="498">
        <f t="shared" ref="T51" si="24">M51+P51</f>
        <v>0</v>
      </c>
      <c r="U51" s="499" t="str">
        <f>IFERROR((#REF!/T51),"-")</f>
        <v>-</v>
      </c>
    </row>
    <row r="52" spans="2:21" ht="15" thickBot="1">
      <c r="B52" s="990" t="s">
        <v>178</v>
      </c>
      <c r="C52" s="991"/>
      <c r="D52" s="991"/>
      <c r="E52" s="991"/>
      <c r="F52" s="991"/>
      <c r="G52" s="991"/>
      <c r="H52" s="991"/>
      <c r="I52" s="991"/>
      <c r="J52" s="991"/>
      <c r="K52" s="276">
        <f>SUM(K45:K48,H50:J51)</f>
        <v>0</v>
      </c>
      <c r="L52" s="277">
        <f>SUM(L45:L51)</f>
        <v>0</v>
      </c>
      <c r="M52" s="278">
        <f>SUM(M45:M51)</f>
        <v>0</v>
      </c>
      <c r="N52" s="294">
        <f t="shared" ref="N52:P52" si="25">SUM(N49:N51)</f>
        <v>0</v>
      </c>
      <c r="O52" s="295">
        <f t="shared" si="25"/>
        <v>0</v>
      </c>
      <c r="P52" s="296">
        <f t="shared" si="25"/>
        <v>0</v>
      </c>
      <c r="R52" s="500" t="s">
        <v>234</v>
      </c>
      <c r="S52" s="501" t="s">
        <v>235</v>
      </c>
      <c r="T52" s="501" t="s">
        <v>235</v>
      </c>
      <c r="U52" s="502"/>
    </row>
    <row r="53" spans="2:21" ht="7.5" customHeight="1" thickBot="1">
      <c r="B53" s="960"/>
      <c r="C53" s="960"/>
      <c r="D53" s="960"/>
      <c r="E53" s="960"/>
      <c r="F53" s="960"/>
      <c r="G53" s="960"/>
      <c r="H53" s="960"/>
      <c r="I53" s="960"/>
      <c r="J53" s="960"/>
      <c r="K53" s="960"/>
      <c r="L53" s="960"/>
      <c r="M53" s="960"/>
    </row>
    <row r="54" spans="2:21" ht="15" customHeight="1" thickBot="1">
      <c r="B54" s="996" t="s">
        <v>179</v>
      </c>
      <c r="C54" s="997"/>
      <c r="D54" s="997"/>
      <c r="E54" s="997"/>
      <c r="F54" s="997"/>
      <c r="G54" s="997"/>
      <c r="H54" s="997"/>
      <c r="I54" s="997"/>
      <c r="J54" s="997"/>
      <c r="K54" s="298">
        <f t="shared" ref="K54:P54" si="26">K24+K39+K52</f>
        <v>0</v>
      </c>
      <c r="L54" s="298">
        <f>L24+L39+L52</f>
        <v>0</v>
      </c>
      <c r="M54" s="298">
        <f t="shared" si="26"/>
        <v>0</v>
      </c>
      <c r="N54" s="288">
        <f t="shared" si="26"/>
        <v>0</v>
      </c>
      <c r="O54" s="288">
        <f t="shared" si="26"/>
        <v>0</v>
      </c>
      <c r="P54" s="288">
        <f t="shared" si="26"/>
        <v>0</v>
      </c>
    </row>
    <row r="55" spans="2:21" ht="7.5" customHeight="1">
      <c r="B55" s="960"/>
      <c r="C55" s="960"/>
      <c r="D55" s="960"/>
      <c r="E55" s="960"/>
      <c r="F55" s="960"/>
      <c r="G55" s="960"/>
      <c r="H55" s="960"/>
      <c r="I55" s="960"/>
      <c r="J55" s="960"/>
      <c r="K55" s="960"/>
      <c r="L55" s="960"/>
      <c r="M55" s="960"/>
    </row>
    <row r="56" spans="2:21" ht="15.75" thickBot="1">
      <c r="B56" s="985" t="s">
        <v>180</v>
      </c>
      <c r="C56" s="985"/>
      <c r="D56" s="985"/>
      <c r="E56" s="985"/>
      <c r="F56" s="985"/>
      <c r="G56" s="985"/>
      <c r="H56" s="985"/>
      <c r="I56" s="985"/>
      <c r="J56" s="985"/>
      <c r="K56" s="985"/>
      <c r="L56" s="985"/>
      <c r="M56" s="985"/>
      <c r="N56" s="985"/>
      <c r="O56" s="985"/>
      <c r="P56" s="985"/>
    </row>
    <row r="57" spans="2:21" ht="7.5" customHeight="1" thickBot="1">
      <c r="B57" s="960"/>
      <c r="C57" s="960"/>
      <c r="D57" s="960"/>
      <c r="E57" s="960"/>
      <c r="F57" s="960"/>
      <c r="G57" s="960"/>
      <c r="H57" s="960"/>
      <c r="I57" s="960"/>
      <c r="J57" s="960"/>
      <c r="K57" s="960"/>
      <c r="L57" s="960"/>
      <c r="M57" s="960"/>
      <c r="N57" s="360"/>
    </row>
    <row r="58" spans="2:21">
      <c r="B58" s="1535" t="s">
        <v>181</v>
      </c>
      <c r="C58" s="1536"/>
      <c r="D58" s="1536"/>
      <c r="E58" s="1536"/>
      <c r="F58" s="962" t="s">
        <v>182</v>
      </c>
      <c r="G58" s="962"/>
      <c r="H58" s="962" t="s">
        <v>183</v>
      </c>
      <c r="I58" s="962"/>
      <c r="J58" s="962" t="s">
        <v>184</v>
      </c>
      <c r="K58" s="962"/>
      <c r="L58" s="962"/>
      <c r="M58" s="467"/>
      <c r="N58" s="468" t="s">
        <v>185</v>
      </c>
    </row>
    <row r="59" spans="2:21" ht="15" customHeight="1">
      <c r="B59" s="1111" t="str">
        <f>'Bdgt Yr 1'!B59</f>
        <v>689036</v>
      </c>
      <c r="C59" s="1112">
        <f>'Bdgt Yr 1'!C68</f>
        <v>0</v>
      </c>
      <c r="D59" s="1537" t="s">
        <v>187</v>
      </c>
      <c r="E59" s="1538"/>
      <c r="F59" s="958"/>
      <c r="G59" s="959"/>
      <c r="H59" s="958"/>
      <c r="I59" s="1060"/>
      <c r="J59" s="959"/>
      <c r="K59" s="959"/>
      <c r="L59" s="1077"/>
      <c r="M59" s="469">
        <f>IFERROR(INDEX('Tuition &amp; Fees'!C4:D21,MATCH(J59,'Tuition &amp; Fees'!B4:B21,0),MATCH(H59,'Tuition &amp; Fees'!C3:D3,0)),"0")*F59</f>
        <v>0</v>
      </c>
      <c r="N59" s="303">
        <f>'Cost-Share'!AV44</f>
        <v>0</v>
      </c>
    </row>
    <row r="60" spans="2:21" ht="15" customHeight="1">
      <c r="B60" s="1111" t="str">
        <f>'Bdgt Yr 1'!B60</f>
        <v>689036</v>
      </c>
      <c r="C60" s="1112">
        <f>'Bdgt Yr 1'!C69</f>
        <v>0</v>
      </c>
      <c r="D60" s="1539" t="s">
        <v>188</v>
      </c>
      <c r="E60" s="1540"/>
      <c r="F60" s="1058"/>
      <c r="G60" s="1059"/>
      <c r="H60" s="1058"/>
      <c r="I60" s="1061"/>
      <c r="J60" s="1078"/>
      <c r="K60" s="1078"/>
      <c r="L60" s="1079"/>
      <c r="M60" s="470">
        <f>IFERROR(INDEX('Tuition &amp; Fees'!C25:D42,MATCH(J60,'Tuition &amp; Fees'!B25:B42,0),MATCH(H60,'Tuition &amp; Fees'!C24:D24,0)),"0")*F60</f>
        <v>0</v>
      </c>
      <c r="N60" s="303">
        <f>'Cost-Share'!AV45</f>
        <v>0</v>
      </c>
    </row>
    <row r="61" spans="2:21" ht="15" customHeight="1">
      <c r="B61" s="1111">
        <f>'Bdgt Yr 1'!B61</f>
        <v>689036</v>
      </c>
      <c r="C61" s="1112">
        <f>'Bdgt Yr 1'!C70</f>
        <v>0</v>
      </c>
      <c r="D61" s="1541" t="s">
        <v>189</v>
      </c>
      <c r="E61" s="1542"/>
      <c r="F61" s="967"/>
      <c r="G61" s="968"/>
      <c r="H61" s="968"/>
      <c r="I61" s="968"/>
      <c r="J61" s="968"/>
      <c r="K61" s="968"/>
      <c r="L61" s="969"/>
      <c r="M61" s="61">
        <v>0</v>
      </c>
      <c r="N61" s="303">
        <f>'Cost-Share'!AV46</f>
        <v>0</v>
      </c>
    </row>
    <row r="62" spans="2:21">
      <c r="B62" s="990" t="s">
        <v>229</v>
      </c>
      <c r="C62" s="991"/>
      <c r="D62" s="991"/>
      <c r="E62" s="991"/>
      <c r="F62" s="991"/>
      <c r="G62" s="991"/>
      <c r="H62" s="991"/>
      <c r="I62" s="991"/>
      <c r="J62" s="991"/>
      <c r="K62" s="991"/>
      <c r="L62" s="1012"/>
      <c r="M62" s="342">
        <f>SUM(M59:M61)</f>
        <v>0</v>
      </c>
      <c r="N62" s="304">
        <f>SUM(N59:N61)</f>
        <v>0</v>
      </c>
    </row>
    <row r="63" spans="2:21" ht="7.5" customHeight="1" thickBot="1">
      <c r="B63" s="960"/>
      <c r="C63" s="960"/>
      <c r="D63" s="960"/>
      <c r="E63" s="960"/>
      <c r="F63" s="960"/>
      <c r="G63" s="960"/>
      <c r="H63" s="960"/>
      <c r="I63" s="960"/>
      <c r="J63" s="960"/>
      <c r="K63" s="960"/>
      <c r="L63" s="960"/>
      <c r="M63" s="960"/>
    </row>
    <row r="64" spans="2:21">
      <c r="B64" s="1543" t="s">
        <v>230</v>
      </c>
      <c r="C64" s="1544"/>
      <c r="D64" s="1544"/>
      <c r="E64" s="1544"/>
      <c r="F64" s="961" t="s">
        <v>191</v>
      </c>
      <c r="G64" s="961"/>
      <c r="H64" s="961"/>
      <c r="I64" s="961"/>
      <c r="J64" s="961"/>
      <c r="K64" s="961"/>
      <c r="L64" s="961"/>
      <c r="M64" s="961"/>
      <c r="N64" s="471" t="s">
        <v>185</v>
      </c>
      <c r="P64" s="472"/>
    </row>
    <row r="65" spans="2:14" ht="15" customHeight="1">
      <c r="B65" s="1111" t="str">
        <f>'Bdgt Yr 1'!B65</f>
        <v>4000BP</v>
      </c>
      <c r="C65" s="1112">
        <f>'Bdgt Yr 1'!C74</f>
        <v>0</v>
      </c>
      <c r="D65" s="1545" t="s">
        <v>116</v>
      </c>
      <c r="E65" s="1546"/>
      <c r="F65" s="1006"/>
      <c r="G65" s="1007"/>
      <c r="H65" s="1007"/>
      <c r="I65" s="1007"/>
      <c r="J65" s="1007"/>
      <c r="K65" s="1007"/>
      <c r="L65" s="1008"/>
      <c r="M65" s="469">
        <v>0</v>
      </c>
      <c r="N65" s="303">
        <f>'Cost-Share'!AV50</f>
        <v>0</v>
      </c>
    </row>
    <row r="66" spans="2:14" ht="15.75" customHeight="1" thickBot="1">
      <c r="B66" s="1111" t="str">
        <f>'Bdgt Yr 1'!B66</f>
        <v>4000BP</v>
      </c>
      <c r="C66" s="1112">
        <f>'Bdgt Yr 1'!C75</f>
        <v>0</v>
      </c>
      <c r="D66" s="1541" t="s">
        <v>116</v>
      </c>
      <c r="E66" s="1542"/>
      <c r="F66" s="967"/>
      <c r="G66" s="968"/>
      <c r="H66" s="968"/>
      <c r="I66" s="968"/>
      <c r="J66" s="968"/>
      <c r="K66" s="968"/>
      <c r="L66" s="969"/>
      <c r="M66" s="61">
        <v>0</v>
      </c>
      <c r="N66" s="303">
        <f>'Cost-Share'!AV51</f>
        <v>0</v>
      </c>
    </row>
    <row r="67" spans="2:14" ht="15" thickBot="1">
      <c r="B67" s="990" t="s">
        <v>193</v>
      </c>
      <c r="C67" s="991"/>
      <c r="D67" s="991"/>
      <c r="E67" s="991"/>
      <c r="F67" s="991"/>
      <c r="G67" s="991"/>
      <c r="H67" s="991"/>
      <c r="I67" s="991"/>
      <c r="J67" s="991"/>
      <c r="K67" s="991"/>
      <c r="L67" s="1011"/>
      <c r="M67" s="341">
        <f>SUM(M65:M66)</f>
        <v>0</v>
      </c>
      <c r="N67" s="304">
        <f>SUM(N65:N66)</f>
        <v>0</v>
      </c>
    </row>
    <row r="68" spans="2:14" ht="7.5" customHeight="1" thickBot="1">
      <c r="B68" s="960"/>
      <c r="C68" s="960"/>
      <c r="D68" s="960"/>
      <c r="E68" s="960"/>
      <c r="F68" s="960"/>
      <c r="G68" s="960"/>
      <c r="H68" s="960"/>
      <c r="I68" s="960"/>
      <c r="J68" s="960"/>
      <c r="K68" s="960"/>
      <c r="L68" s="960"/>
      <c r="M68" s="960"/>
      <c r="N68" s="360"/>
    </row>
    <row r="69" spans="2:14">
      <c r="B69" s="1543" t="s">
        <v>194</v>
      </c>
      <c r="C69" s="1544"/>
      <c r="D69" s="1544"/>
      <c r="E69" s="1544"/>
      <c r="F69" s="961" t="s">
        <v>191</v>
      </c>
      <c r="G69" s="961"/>
      <c r="H69" s="961"/>
      <c r="I69" s="961"/>
      <c r="J69" s="961"/>
      <c r="K69" s="961"/>
      <c r="L69" s="961"/>
      <c r="M69" s="961"/>
      <c r="N69" s="468" t="s">
        <v>185</v>
      </c>
    </row>
    <row r="70" spans="2:14" ht="15" customHeight="1">
      <c r="B70" s="1111" t="str">
        <f>'Bdgt Yr 1'!B70</f>
        <v>5000BP</v>
      </c>
      <c r="C70" s="1112">
        <f>'Bdgt Yr 1'!C79</f>
        <v>0</v>
      </c>
      <c r="D70" s="1545" t="s">
        <v>196</v>
      </c>
      <c r="E70" s="1546"/>
      <c r="F70" s="1006"/>
      <c r="G70" s="1007"/>
      <c r="H70" s="1007"/>
      <c r="I70" s="1007"/>
      <c r="J70" s="1007"/>
      <c r="K70" s="1007"/>
      <c r="L70" s="1008"/>
      <c r="M70" s="469">
        <v>0</v>
      </c>
      <c r="N70" s="303">
        <f>'Cost-Share'!AV55</f>
        <v>0</v>
      </c>
    </row>
    <row r="71" spans="2:14" ht="15" customHeight="1">
      <c r="B71" s="1111" t="str">
        <f>'Bdgt Yr 1'!B71</f>
        <v>271410</v>
      </c>
      <c r="C71" s="1112">
        <f>'Bdgt Yr 1'!C80</f>
        <v>0</v>
      </c>
      <c r="D71" s="1539" t="s">
        <v>120</v>
      </c>
      <c r="E71" s="1548"/>
      <c r="F71" s="1006"/>
      <c r="G71" s="1007"/>
      <c r="H71" s="1007"/>
      <c r="I71" s="1007"/>
      <c r="J71" s="1007"/>
      <c r="K71" s="1007"/>
      <c r="L71" s="1008"/>
      <c r="M71" s="470">
        <v>0</v>
      </c>
      <c r="N71" s="303">
        <f>'Cost-Share'!AV56</f>
        <v>0</v>
      </c>
    </row>
    <row r="72" spans="2:14" ht="15" customHeight="1">
      <c r="B72" s="1111" t="str">
        <f>'Bdgt Yr 1'!B72</f>
        <v>218105</v>
      </c>
      <c r="C72" s="1112">
        <f>'Bdgt Yr 1'!C81</f>
        <v>0</v>
      </c>
      <c r="D72" s="1539" t="s">
        <v>199</v>
      </c>
      <c r="E72" s="1548"/>
      <c r="F72" s="1006"/>
      <c r="G72" s="1007"/>
      <c r="H72" s="1007"/>
      <c r="I72" s="1007"/>
      <c r="J72" s="1007"/>
      <c r="K72" s="1007"/>
      <c r="L72" s="1008"/>
      <c r="M72" s="61">
        <v>0</v>
      </c>
      <c r="N72" s="303">
        <f>'Cost-Share'!AV57</f>
        <v>0</v>
      </c>
    </row>
    <row r="73" spans="2:14" ht="15.75" customHeight="1" thickBot="1">
      <c r="B73" s="1111"/>
      <c r="C73" s="1112"/>
      <c r="D73" s="1541" t="s">
        <v>200</v>
      </c>
      <c r="E73" s="1542"/>
      <c r="F73" s="967"/>
      <c r="G73" s="968"/>
      <c r="H73" s="968"/>
      <c r="I73" s="968"/>
      <c r="J73" s="968"/>
      <c r="K73" s="968"/>
      <c r="L73" s="969"/>
      <c r="M73" s="470">
        <v>0</v>
      </c>
      <c r="N73" s="303">
        <f>'Cost-Share'!AV58</f>
        <v>0</v>
      </c>
    </row>
    <row r="74" spans="2:14" ht="15" thickBot="1">
      <c r="B74" s="990" t="s">
        <v>201</v>
      </c>
      <c r="C74" s="991"/>
      <c r="D74" s="991"/>
      <c r="E74" s="991"/>
      <c r="F74" s="991"/>
      <c r="G74" s="991"/>
      <c r="H74" s="991"/>
      <c r="I74" s="991"/>
      <c r="J74" s="991"/>
      <c r="K74" s="991"/>
      <c r="L74" s="1012"/>
      <c r="M74" s="342">
        <f>SUM(M70:M73)</f>
        <v>0</v>
      </c>
      <c r="N74" s="304">
        <f>SUM(N70:N73)</f>
        <v>0</v>
      </c>
    </row>
    <row r="75" spans="2:14" ht="7.5" customHeight="1" thickBot="1">
      <c r="B75" s="960"/>
      <c r="C75" s="960"/>
      <c r="D75" s="960"/>
      <c r="E75" s="960"/>
      <c r="F75" s="960"/>
      <c r="G75" s="960"/>
      <c r="H75" s="960"/>
      <c r="I75" s="960"/>
      <c r="J75" s="960"/>
      <c r="K75" s="960"/>
      <c r="L75" s="960"/>
      <c r="M75" s="960"/>
      <c r="N75" s="360"/>
    </row>
    <row r="76" spans="2:14">
      <c r="B76" s="1543" t="s">
        <v>202</v>
      </c>
      <c r="C76" s="1544"/>
      <c r="D76" s="1544"/>
      <c r="E76" s="1544"/>
      <c r="F76" s="1101" t="s">
        <v>203</v>
      </c>
      <c r="G76" s="1101"/>
      <c r="H76" s="1101"/>
      <c r="I76" s="1101"/>
      <c r="J76" s="1101"/>
      <c r="K76" s="1101"/>
      <c r="L76" s="1101"/>
      <c r="M76" s="1101"/>
      <c r="N76" s="468" t="s">
        <v>185</v>
      </c>
    </row>
    <row r="77" spans="2:14" ht="15" customHeight="1">
      <c r="B77" s="1122" t="s">
        <v>204</v>
      </c>
      <c r="C77" s="1123">
        <f>'Bdgt Yr 1'!C86</f>
        <v>0</v>
      </c>
      <c r="D77" s="1127" t="s">
        <v>205</v>
      </c>
      <c r="E77" s="1128"/>
      <c r="F77" s="1137" t="str">
        <f>T('Bdgt Yr 1'!F77:K77)</f>
        <v/>
      </c>
      <c r="G77" s="1138"/>
      <c r="H77" s="1138"/>
      <c r="I77" s="1138"/>
      <c r="J77" s="1138"/>
      <c r="K77" s="1139"/>
      <c r="L77" s="515">
        <f>IF('Bdgt Yr 1'!M77+'Bdgt Yr 2'!M77+'Bdgt Yr 3'!M77+'Bdgt Yr 4'!M77+M77&gt;=25000,MAX(25000-('Bdgt Yr 1'!M77+'Bdgt Yr 2'!M77+'Bdgt Yr 3'!M77+'Bdgt Yr 4'!M77),0), M77)</f>
        <v>0</v>
      </c>
      <c r="M77" s="469">
        <v>0</v>
      </c>
      <c r="N77" s="303">
        <f>'Cost-Share'!AV62</f>
        <v>0</v>
      </c>
    </row>
    <row r="78" spans="2:14" ht="15" customHeight="1">
      <c r="B78" s="1120" t="s">
        <v>204</v>
      </c>
      <c r="C78" s="1121">
        <f>'Bdgt Yr 1'!C87</f>
        <v>0</v>
      </c>
      <c r="D78" s="952" t="s">
        <v>205</v>
      </c>
      <c r="E78" s="953"/>
      <c r="F78" s="1108" t="str">
        <f>T('Bdgt Yr 1'!F78:K78)</f>
        <v/>
      </c>
      <c r="G78" s="1109"/>
      <c r="H78" s="1109"/>
      <c r="I78" s="1109"/>
      <c r="J78" s="1109"/>
      <c r="K78" s="1110"/>
      <c r="L78" s="515">
        <f>IF('Bdgt Yr 1'!M78+'Bdgt Yr 2'!M78+'Bdgt Yr 3'!M78+'Bdgt Yr 4'!M78+M78&gt;=25000,MAX(25000-('Bdgt Yr 1'!M78+'Bdgt Yr 2'!M78+'Bdgt Yr 3'!M78+'Bdgt Yr 4'!M78),0), M78)</f>
        <v>0</v>
      </c>
      <c r="M78" s="470">
        <v>0</v>
      </c>
      <c r="N78" s="303">
        <f>'Cost-Share'!AV63</f>
        <v>0</v>
      </c>
    </row>
    <row r="79" spans="2:14" ht="15" customHeight="1">
      <c r="B79" s="1120" t="s">
        <v>204</v>
      </c>
      <c r="C79" s="1121">
        <f>'Bdgt Yr 1'!C88</f>
        <v>0</v>
      </c>
      <c r="D79" s="952" t="s">
        <v>205</v>
      </c>
      <c r="E79" s="953"/>
      <c r="F79" s="1108" t="str">
        <f>T('Bdgt Yr 1'!F79:K79)</f>
        <v/>
      </c>
      <c r="G79" s="1109"/>
      <c r="H79" s="1109"/>
      <c r="I79" s="1109"/>
      <c r="J79" s="1109"/>
      <c r="K79" s="1110"/>
      <c r="L79" s="515">
        <f>IF('Bdgt Yr 1'!M79+'Bdgt Yr 2'!M79+'Bdgt Yr 3'!M79+'Bdgt Yr 4'!M79+M79&gt;=25000,MAX(25000-('Bdgt Yr 1'!M79+'Bdgt Yr 2'!M79+'Bdgt Yr 3'!M79+'Bdgt Yr 4'!M79),0), M79)</f>
        <v>0</v>
      </c>
      <c r="M79" s="61">
        <v>0</v>
      </c>
      <c r="N79" s="303">
        <f>'Cost-Share'!AV64</f>
        <v>0</v>
      </c>
    </row>
    <row r="80" spans="2:14" ht="15.75" customHeight="1" thickBot="1">
      <c r="B80" s="1122" t="s">
        <v>204</v>
      </c>
      <c r="C80" s="1123">
        <f>'Bdgt Yr 1'!C89</f>
        <v>0</v>
      </c>
      <c r="D80" s="954" t="s">
        <v>205</v>
      </c>
      <c r="E80" s="955"/>
      <c r="F80" s="1006" t="str">
        <f>T('Bdgt Yr 1'!F80:K80)</f>
        <v/>
      </c>
      <c r="G80" s="1007"/>
      <c r="H80" s="1007"/>
      <c r="I80" s="1007"/>
      <c r="J80" s="1007"/>
      <c r="K80" s="1007"/>
      <c r="L80" s="515">
        <f>IF('Bdgt Yr 1'!M80+'Bdgt Yr 2'!M80+'Bdgt Yr 3'!M80+'Bdgt Yr 4'!M80+M80&gt;=25000,MAX(25000-('Bdgt Yr 1'!M80+'Bdgt Yr 2'!M80+'Bdgt Yr 3'!M80+'Bdgt Yr 4'!M80),0), M80)</f>
        <v>0</v>
      </c>
      <c r="M80" s="470">
        <v>0</v>
      </c>
      <c r="N80" s="303">
        <f>'Cost-Share'!AV65</f>
        <v>0</v>
      </c>
    </row>
    <row r="81" spans="2:14" ht="15" thickBot="1">
      <c r="B81" s="990" t="s">
        <v>206</v>
      </c>
      <c r="C81" s="991"/>
      <c r="D81" s="991"/>
      <c r="E81" s="991"/>
      <c r="F81" s="991"/>
      <c r="G81" s="991"/>
      <c r="H81" s="991"/>
      <c r="I81" s="991"/>
      <c r="J81" s="991"/>
      <c r="K81" s="1062"/>
      <c r="L81" s="614">
        <f>SUM(L77:L80)</f>
        <v>0</v>
      </c>
      <c r="M81" s="342">
        <f>SUM(M77:M80)</f>
        <v>0</v>
      </c>
      <c r="N81" s="304">
        <f>SUM(N77:N80)</f>
        <v>0</v>
      </c>
    </row>
    <row r="82" spans="2:14" ht="7.5" customHeight="1" thickBot="1">
      <c r="B82" s="960"/>
      <c r="C82" s="960"/>
      <c r="D82" s="960"/>
      <c r="E82" s="960"/>
      <c r="F82" s="960"/>
      <c r="G82" s="960"/>
      <c r="H82" s="960"/>
      <c r="I82" s="960"/>
      <c r="J82" s="960"/>
      <c r="K82" s="960"/>
      <c r="L82" s="960"/>
      <c r="M82" s="960"/>
      <c r="N82" s="360"/>
    </row>
    <row r="83" spans="2:14">
      <c r="B83" s="1543" t="s">
        <v>207</v>
      </c>
      <c r="C83" s="1544"/>
      <c r="D83" s="1544"/>
      <c r="E83" s="1544"/>
      <c r="F83" s="961" t="s">
        <v>191</v>
      </c>
      <c r="G83" s="961"/>
      <c r="H83" s="961"/>
      <c r="I83" s="961"/>
      <c r="J83" s="961"/>
      <c r="K83" s="961"/>
      <c r="L83" s="961"/>
      <c r="M83" s="961"/>
      <c r="N83" s="468" t="s">
        <v>185</v>
      </c>
    </row>
    <row r="84" spans="2:14" ht="15" customHeight="1">
      <c r="B84" s="1111" t="str">
        <f>'Bdgt Yr 1'!B84</f>
        <v>271410</v>
      </c>
      <c r="C84" s="1112">
        <f>'Bdgt Yr 1'!C109</f>
        <v>0</v>
      </c>
      <c r="D84" s="1545" t="s">
        <v>208</v>
      </c>
      <c r="E84" s="1546"/>
      <c r="F84" s="1006"/>
      <c r="G84" s="1007"/>
      <c r="H84" s="1007"/>
      <c r="I84" s="1007"/>
      <c r="J84" s="1007"/>
      <c r="K84" s="1007"/>
      <c r="L84" s="1008"/>
      <c r="M84" s="469">
        <v>0</v>
      </c>
      <c r="N84" s="303">
        <f>'Cost-Share'!AV69</f>
        <v>0</v>
      </c>
    </row>
    <row r="85" spans="2:14" ht="15" customHeight="1" thickBot="1">
      <c r="B85" s="1111" t="str">
        <f>'Bdgt Yr 1'!B85</f>
        <v>271933</v>
      </c>
      <c r="C85" s="1112">
        <f>'Bdgt Yr 1'!C110</f>
        <v>0</v>
      </c>
      <c r="D85" s="1541" t="s">
        <v>210</v>
      </c>
      <c r="E85" s="1542"/>
      <c r="F85" s="967"/>
      <c r="G85" s="968"/>
      <c r="H85" s="968"/>
      <c r="I85" s="968"/>
      <c r="J85" s="968"/>
      <c r="K85" s="968"/>
      <c r="L85" s="969"/>
      <c r="M85" s="61">
        <v>0</v>
      </c>
      <c r="N85" s="303">
        <f>'Cost-Share'!AV70</f>
        <v>0</v>
      </c>
    </row>
    <row r="86" spans="2:14" ht="15" thickBot="1">
      <c r="B86" s="990" t="s">
        <v>211</v>
      </c>
      <c r="C86" s="991"/>
      <c r="D86" s="991"/>
      <c r="E86" s="991"/>
      <c r="F86" s="991"/>
      <c r="G86" s="991"/>
      <c r="H86" s="991"/>
      <c r="I86" s="991"/>
      <c r="J86" s="991"/>
      <c r="K86" s="991"/>
      <c r="L86" s="1011"/>
      <c r="M86" s="341">
        <f>SUM(M84:M85)</f>
        <v>0</v>
      </c>
      <c r="N86" s="304">
        <f>SUM(N84:N85)</f>
        <v>0</v>
      </c>
    </row>
    <row r="87" spans="2:14" ht="7.5" customHeight="1" thickBot="1">
      <c r="B87" s="960"/>
      <c r="C87" s="960"/>
      <c r="D87" s="960"/>
      <c r="E87" s="960"/>
      <c r="F87" s="960"/>
      <c r="G87" s="960"/>
      <c r="H87" s="960"/>
      <c r="I87" s="960"/>
      <c r="J87" s="960"/>
      <c r="K87" s="960"/>
      <c r="L87" s="960"/>
      <c r="M87" s="960"/>
      <c r="N87" s="360"/>
    </row>
    <row r="88" spans="2:14">
      <c r="B88" s="1050" t="s">
        <v>212</v>
      </c>
      <c r="C88" s="989"/>
      <c r="D88" s="989"/>
      <c r="E88" s="989"/>
      <c r="F88" s="961" t="s">
        <v>191</v>
      </c>
      <c r="G88" s="961"/>
      <c r="H88" s="961"/>
      <c r="I88" s="961"/>
      <c r="J88" s="961"/>
      <c r="K88" s="961"/>
      <c r="L88" s="961"/>
      <c r="M88" s="961"/>
      <c r="N88" s="468" t="s">
        <v>185</v>
      </c>
    </row>
    <row r="89" spans="2:14" ht="15" customHeight="1">
      <c r="B89" s="972" t="str">
        <f>'Bdgt Yr 1'!B89</f>
        <v>3000BP</v>
      </c>
      <c r="C89" s="973"/>
      <c r="D89" s="956" t="str">
        <f>IF(ISERROR(VLOOKUP(B89,Constants!$X$2:AA$473,1,FALSE)),"No Match",VLOOKUP('Bdgt Yr 1'!B89,Constants!$X$2:$AA$473,4,FALSE))</f>
        <v>Materials and Supplies</v>
      </c>
      <c r="E89" s="957"/>
      <c r="F89" s="1006"/>
      <c r="G89" s="1007"/>
      <c r="H89" s="1007"/>
      <c r="I89" s="1007"/>
      <c r="J89" s="1007"/>
      <c r="K89" s="1007"/>
      <c r="L89" s="1008"/>
      <c r="M89" s="134">
        <v>0</v>
      </c>
      <c r="N89" s="303">
        <f>'Cost-Share'!AV74</f>
        <v>0</v>
      </c>
    </row>
    <row r="90" spans="2:14" ht="15" customHeight="1">
      <c r="B90" s="970">
        <f>'Bdgt Yr 1'!B90</f>
        <v>583010</v>
      </c>
      <c r="C90" s="971"/>
      <c r="D90" s="948" t="str">
        <f>IF(ISERROR(VLOOKUP(B90,Constants!$X$2:AA$473,1,FALSE)),"No Match",VLOOKUP('Bdgt Yr 1'!B90,Constants!$X$2:$AA$473,4,FALSE))</f>
        <v>Subscriptions and Publication Costs</v>
      </c>
      <c r="E90" s="949"/>
      <c r="F90" s="1006"/>
      <c r="G90" s="1007"/>
      <c r="H90" s="1007"/>
      <c r="I90" s="1007"/>
      <c r="J90" s="1007"/>
      <c r="K90" s="1007"/>
      <c r="L90" s="1008"/>
      <c r="M90" s="134">
        <v>0</v>
      </c>
      <c r="N90" s="303">
        <f>'Cost-Share'!AV75</f>
        <v>0</v>
      </c>
    </row>
    <row r="91" spans="2:14" ht="15" customHeight="1">
      <c r="B91" s="970">
        <f>'Bdgt Yr 1'!B91</f>
        <v>311010</v>
      </c>
      <c r="C91" s="971"/>
      <c r="D91" s="948" t="str">
        <f>IF(ISERROR(VLOOKUP(B91,Constants!$X$2:AA$473,1,FALSE)),"No Match",VLOOKUP('Bdgt Yr 1'!B91,Constants!$X$2:$AA$473,4,FALSE))</f>
        <v xml:space="preserve">Office Supplies     </v>
      </c>
      <c r="E91" s="949"/>
      <c r="F91" s="1006"/>
      <c r="G91" s="1007"/>
      <c r="H91" s="1007"/>
      <c r="I91" s="1007"/>
      <c r="J91" s="1007"/>
      <c r="K91" s="1007"/>
      <c r="L91" s="1008"/>
      <c r="M91" s="134">
        <v>0</v>
      </c>
      <c r="N91" s="303">
        <f>'Cost-Share'!AV76</f>
        <v>0</v>
      </c>
    </row>
    <row r="92" spans="2:14" ht="15" customHeight="1">
      <c r="B92" s="970">
        <f>'Bdgt Yr 1'!B92</f>
        <v>293054</v>
      </c>
      <c r="C92" s="971"/>
      <c r="D92" s="948" t="str">
        <f>IF(ISERROR(VLOOKUP(B92,Constants!$X$2:AA$473,1,FALSE)),"No Match",VLOOKUP('Bdgt Yr 1'!B92,Constants!$X$2:$AA$473,4,FALSE))</f>
        <v>Registration Fees</v>
      </c>
      <c r="E92" s="949"/>
      <c r="F92" s="1006"/>
      <c r="G92" s="1007"/>
      <c r="H92" s="1007"/>
      <c r="I92" s="1007"/>
      <c r="J92" s="1007"/>
      <c r="K92" s="1007"/>
      <c r="L92" s="1008"/>
      <c r="M92" s="134">
        <v>0</v>
      </c>
      <c r="N92" s="303">
        <f>'Cost-Share'!AV77</f>
        <v>0</v>
      </c>
    </row>
    <row r="93" spans="2:14" ht="15" customHeight="1">
      <c r="B93" s="970">
        <f>'Bdgt Yr 1'!B93</f>
        <v>281120</v>
      </c>
      <c r="C93" s="971"/>
      <c r="D93" s="948" t="str">
        <f>IF(ISERROR(VLOOKUP(B93,Constants!$X$2:AA$473,1,FALSE)),"No Match",VLOOKUP('Bdgt Yr 1'!B93,Constants!$X$2:$AA$473,4,FALSE))</f>
        <v>Telephone Services</v>
      </c>
      <c r="E93" s="949"/>
      <c r="F93" s="1006"/>
      <c r="G93" s="1007"/>
      <c r="H93" s="1007"/>
      <c r="I93" s="1007"/>
      <c r="J93" s="1007"/>
      <c r="K93" s="1007"/>
      <c r="L93" s="1008"/>
      <c r="M93" s="134">
        <v>0</v>
      </c>
      <c r="N93" s="303">
        <f>'Cost-Share'!AV78</f>
        <v>0</v>
      </c>
    </row>
    <row r="94" spans="2:14" ht="15" customHeight="1">
      <c r="B94" s="970" t="str">
        <f>'Bdgt Yr 1'!B94</f>
        <v>2100BP</v>
      </c>
      <c r="C94" s="971"/>
      <c r="D94" s="948" t="str">
        <f>IF(ISERROR(VLOOKUP(B94,Constants!$X$2:AA$473,1,FALSE)),"No Match",VLOOKUP('Bdgt Yr 1'!B94,Constants!$X$2:$AA$473,4,FALSE))</f>
        <v>Contracted Services Pool</v>
      </c>
      <c r="E94" s="949"/>
      <c r="F94" s="1006"/>
      <c r="G94" s="1007"/>
      <c r="H94" s="1007"/>
      <c r="I94" s="1007"/>
      <c r="J94" s="1007"/>
      <c r="K94" s="1007"/>
      <c r="L94" s="1008"/>
      <c r="M94" s="134">
        <v>0</v>
      </c>
      <c r="N94" s="303">
        <f>'Cost-Share'!AV79</f>
        <v>0</v>
      </c>
    </row>
    <row r="95" spans="2:14" ht="15" customHeight="1">
      <c r="B95" s="970">
        <f>'Bdgt Yr 1'!B95</f>
        <v>219250</v>
      </c>
      <c r="C95" s="971"/>
      <c r="D95" s="948" t="str">
        <f>IF(ISERROR(VLOOKUP(B95,Constants!$X$2:AA$473,1,FALSE)),"No Match",VLOOKUP('Bdgt Yr 1'!B95,Constants!$X$2:$AA$473,4,FALSE))</f>
        <v xml:space="preserve">Honorariums         </v>
      </c>
      <c r="E95" s="949"/>
      <c r="F95" s="1006"/>
      <c r="G95" s="1007"/>
      <c r="H95" s="1007"/>
      <c r="I95" s="1007"/>
      <c r="J95" s="1007"/>
      <c r="K95" s="1007"/>
      <c r="L95" s="1008"/>
      <c r="M95" s="134">
        <v>0</v>
      </c>
      <c r="N95" s="303">
        <f>'Cost-Share'!AV80</f>
        <v>0</v>
      </c>
    </row>
    <row r="96" spans="2:14" ht="15" customHeight="1">
      <c r="B96" s="970">
        <f>'Bdgt Yr 1'!B96</f>
        <v>286010</v>
      </c>
      <c r="C96" s="971"/>
      <c r="D96" s="948" t="str">
        <f>IF(ISERROR(VLOOKUP(B96,Constants!$X$2:AA$473,1,FALSE)),"No Match",VLOOKUP('Bdgt Yr 1'!B96,Constants!$X$2:$AA$473,4,FALSE))</f>
        <v>Advertising</v>
      </c>
      <c r="E96" s="949"/>
      <c r="F96" s="1006"/>
      <c r="G96" s="1007"/>
      <c r="H96" s="1007"/>
      <c r="I96" s="1007"/>
      <c r="J96" s="1007"/>
      <c r="K96" s="1007"/>
      <c r="L96" s="1008"/>
      <c r="M96" s="134">
        <v>0</v>
      </c>
      <c r="N96" s="303">
        <f>'Cost-Share'!AV81</f>
        <v>0</v>
      </c>
    </row>
    <row r="97" spans="2:14" ht="15" customHeight="1">
      <c r="B97" s="970">
        <f>'Bdgt Yr 1'!B97</f>
        <v>282610</v>
      </c>
      <c r="C97" s="971"/>
      <c r="D97" s="948" t="str">
        <f>IF(ISERROR(VLOOKUP(B97,Constants!$X$2:AA$473,1,FALSE)),"No Match",VLOOKUP('Bdgt Yr 1'!B97,Constants!$X$2:$AA$473,4,FALSE))</f>
        <v>Software Subscriptions</v>
      </c>
      <c r="E97" s="949"/>
      <c r="F97" s="1006"/>
      <c r="G97" s="1007"/>
      <c r="H97" s="1007"/>
      <c r="I97" s="1007"/>
      <c r="J97" s="1007"/>
      <c r="K97" s="1007"/>
      <c r="L97" s="1008"/>
      <c r="M97" s="134">
        <v>0</v>
      </c>
      <c r="N97" s="303">
        <f>'Cost-Share'!AV82</f>
        <v>0</v>
      </c>
    </row>
    <row r="98" spans="2:14" ht="15" customHeight="1">
      <c r="B98" s="970">
        <f>'Bdgt Yr 1'!B98</f>
        <v>583020</v>
      </c>
      <c r="C98" s="971"/>
      <c r="D98" s="948" t="str">
        <f>IF(ISERROR(VLOOKUP(B98,Constants!$X$2:AA$473,1,FALSE)),"No Match",VLOOKUP('Bdgt Yr 1'!B98,Constants!$X$2:$AA$473,4,FALSE))</f>
        <v>Membership Dues</v>
      </c>
      <c r="E98" s="949"/>
      <c r="F98" s="1006"/>
      <c r="G98" s="1007"/>
      <c r="H98" s="1007"/>
      <c r="I98" s="1007"/>
      <c r="J98" s="1007"/>
      <c r="K98" s="1007"/>
      <c r="L98" s="1008"/>
      <c r="M98" s="134">
        <v>0</v>
      </c>
      <c r="N98" s="303">
        <f>'Cost-Share'!AV83</f>
        <v>0</v>
      </c>
    </row>
    <row r="99" spans="2:14" ht="15" customHeight="1">
      <c r="B99" s="970">
        <f>'Bdgt Yr 1'!B99</f>
        <v>284010</v>
      </c>
      <c r="C99" s="971"/>
      <c r="D99" s="948" t="str">
        <f>IF(ISERROR(VLOOKUP(B99,Constants!$X$2:AA$473,1,FALSE)),"No Match",VLOOKUP('Bdgt Yr 1'!B99,Constants!$X$2:$AA$473,4,FALSE))</f>
        <v>Postage</v>
      </c>
      <c r="E99" s="949"/>
      <c r="F99" s="1006"/>
      <c r="G99" s="1007"/>
      <c r="H99" s="1007"/>
      <c r="I99" s="1007"/>
      <c r="J99" s="1007"/>
      <c r="K99" s="1007"/>
      <c r="L99" s="1008"/>
      <c r="M99" s="134">
        <v>0</v>
      </c>
      <c r="N99" s="303">
        <f>'Cost-Share'!AV84</f>
        <v>0</v>
      </c>
    </row>
    <row r="100" spans="2:14" ht="15" customHeight="1">
      <c r="B100" s="970">
        <f>'Bdgt Yr 1'!B100</f>
        <v>284040</v>
      </c>
      <c r="C100" s="971"/>
      <c r="D100" s="948" t="str">
        <f>IF(ISERROR(VLOOKUP(B100,Constants!$X$2:AA$473,1,FALSE)),"No Match",VLOOKUP('Bdgt Yr 1'!B100,Constants!$X$2:$AA$473,4,FALSE))</f>
        <v>Freight/Delivery Services</v>
      </c>
      <c r="E100" s="949"/>
      <c r="F100" s="1006"/>
      <c r="G100" s="1007"/>
      <c r="H100" s="1007"/>
      <c r="I100" s="1007"/>
      <c r="J100" s="1007"/>
      <c r="K100" s="1007"/>
      <c r="L100" s="1008"/>
      <c r="M100" s="134">
        <v>0</v>
      </c>
      <c r="N100" s="303">
        <f>'Cost-Share'!AV85</f>
        <v>0</v>
      </c>
    </row>
    <row r="101" spans="2:14" ht="15" customHeight="1">
      <c r="B101" s="970">
        <f>'Bdgt Yr 1'!B101</f>
        <v>285010</v>
      </c>
      <c r="C101" s="971"/>
      <c r="D101" s="948" t="str">
        <f>IF(ISERROR(VLOOKUP(B101,Constants!$X$2:AA$473,1,FALSE)),"No Match",VLOOKUP('Bdgt Yr 1'!B101,Constants!$X$2:$AA$473,4,FALSE))</f>
        <v>Printing And Binding</v>
      </c>
      <c r="E101" s="949"/>
      <c r="F101" s="1006"/>
      <c r="G101" s="1007"/>
      <c r="H101" s="1007"/>
      <c r="I101" s="1007"/>
      <c r="J101" s="1007"/>
      <c r="K101" s="1007"/>
      <c r="L101" s="1008"/>
      <c r="M101" s="134">
        <v>0</v>
      </c>
      <c r="N101" s="303">
        <f>'Cost-Share'!AV86</f>
        <v>0</v>
      </c>
    </row>
    <row r="102" spans="2:14" ht="15" customHeight="1">
      <c r="B102" s="970">
        <f>'Bdgt Yr 1'!B102</f>
        <v>453410</v>
      </c>
      <c r="C102" s="971"/>
      <c r="D102" s="948" t="str">
        <f>IF(ISERROR(VLOOKUP(B102,Constants!$X$2:AA$473,1,FALSE)),"No Match",VLOOKUP('Bdgt Yr 1'!B102,Constants!$X$2:$AA$473,4,FALSE))</f>
        <v>Computer &amp; Printer Purchase Less Than $5,000 - Add $130/Year/Device for IT Services</v>
      </c>
      <c r="E102" s="949"/>
      <c r="F102" s="1006"/>
      <c r="G102" s="1007"/>
      <c r="H102" s="1007"/>
      <c r="I102" s="1007"/>
      <c r="J102" s="1007"/>
      <c r="K102" s="1007"/>
      <c r="L102" s="1008"/>
      <c r="M102" s="134">
        <v>0</v>
      </c>
      <c r="N102" s="303">
        <f>'Cost-Share'!AV87</f>
        <v>0</v>
      </c>
    </row>
    <row r="103" spans="2:14" ht="15" customHeight="1">
      <c r="B103" s="970">
        <f>'Bdgt Yr 1'!B103</f>
        <v>471310</v>
      </c>
      <c r="C103" s="971"/>
      <c r="D103" s="1549" t="str">
        <f>IF(ISERROR(VLOOKUP(B103,Constants!$X$2:AA$473,1,FALSE)),"No Match",VLOOKUP('Bdgt Yr 1'!B103,Constants!$X$2:$AA$473,4,FALSE))</f>
        <v>PC Software Purchase</v>
      </c>
      <c r="E103" s="1550"/>
      <c r="F103" s="1006"/>
      <c r="G103" s="1007"/>
      <c r="H103" s="1007"/>
      <c r="I103" s="1007"/>
      <c r="J103" s="1007"/>
      <c r="K103" s="1007"/>
      <c r="L103" s="1008"/>
      <c r="M103" s="134">
        <v>0</v>
      </c>
      <c r="N103" s="303">
        <f>'Cost-Share'!AV88</f>
        <v>0</v>
      </c>
    </row>
    <row r="104" spans="2:14" ht="15" customHeight="1">
      <c r="B104" s="970">
        <f>'Bdgt Yr 1'!B104</f>
        <v>218105</v>
      </c>
      <c r="C104" s="971"/>
      <c r="D104" s="1549" t="str">
        <f>IF(ISERROR(VLOOKUP(B104,Constants!$X$2:AA$473,1,FALSE)),"No Match",VLOOKUP('Bdgt Yr 1'!B104,Constants!$X$2:$AA$473,4,FALSE))</f>
        <v>Contract Food Services</v>
      </c>
      <c r="E104" s="1550"/>
      <c r="F104" s="1006"/>
      <c r="G104" s="1007"/>
      <c r="H104" s="1007"/>
      <c r="I104" s="1007"/>
      <c r="J104" s="1007"/>
      <c r="K104" s="1007"/>
      <c r="L104" s="1008"/>
      <c r="M104" s="134">
        <v>0</v>
      </c>
      <c r="N104" s="303">
        <f>'Cost-Share'!AV89</f>
        <v>0</v>
      </c>
    </row>
    <row r="105" spans="2:14" ht="15" customHeight="1">
      <c r="B105" s="970">
        <f>'Bdgt Yr 1'!B105</f>
        <v>218106</v>
      </c>
      <c r="C105" s="971"/>
      <c r="D105" s="1549" t="str">
        <f>IF(ISERROR(VLOOKUP(B105,Constants!$X$2:AA$473,1,FALSE)),"No Match",VLOOKUP('Bdgt Yr 1'!B105,Constants!$X$2:$AA$473,4,FALSE))</f>
        <v>Food Services for Conferences</v>
      </c>
      <c r="E105" s="1550"/>
      <c r="F105" s="1006"/>
      <c r="G105" s="1007"/>
      <c r="H105" s="1007"/>
      <c r="I105" s="1007"/>
      <c r="J105" s="1007"/>
      <c r="K105" s="1007"/>
      <c r="L105" s="1008"/>
      <c r="M105" s="134">
        <v>0</v>
      </c>
      <c r="N105" s="303">
        <f>'Cost-Share'!AV90</f>
        <v>0</v>
      </c>
    </row>
    <row r="106" spans="2:14" ht="15" customHeight="1">
      <c r="B106" s="970">
        <f>'Bdgt Yr 1'!B106</f>
        <v>341010</v>
      </c>
      <c r="C106" s="971"/>
      <c r="D106" s="1549" t="str">
        <f>IF(ISERROR(VLOOKUP(B106,Constants!$X$2:AA$473,1,FALSE)),"No Match",VLOOKUP('Bdgt Yr 1'!B106,Constants!$X$2:$AA$473,4,FALSE))</f>
        <v xml:space="preserve">Purchase of Food Products       </v>
      </c>
      <c r="E106" s="1550"/>
      <c r="F106" s="1006"/>
      <c r="G106" s="1007"/>
      <c r="H106" s="1007"/>
      <c r="I106" s="1007"/>
      <c r="J106" s="1007"/>
      <c r="K106" s="1007"/>
      <c r="L106" s="1008"/>
      <c r="M106" s="134">
        <v>0</v>
      </c>
      <c r="N106" s="303">
        <f>'Cost-Share'!AV91</f>
        <v>0</v>
      </c>
    </row>
    <row r="107" spans="2:14" ht="15" customHeight="1">
      <c r="B107" s="970">
        <f>'Bdgt Yr 1'!B107</f>
        <v>251210</v>
      </c>
      <c r="C107" s="971"/>
      <c r="D107" s="1549" t="str">
        <f>IF(ISERROR(VLOOKUP(B107,Constants!$X$2:AA$473,1,FALSE)),"No Match",VLOOKUP('Bdgt Yr 1'!B107,Constants!$X$2:$AA$473,4,FALSE))</f>
        <v>Rent/Lease Building/Office Space</v>
      </c>
      <c r="E107" s="1550"/>
      <c r="F107" s="1006"/>
      <c r="G107" s="1007"/>
      <c r="H107" s="1007"/>
      <c r="I107" s="1007"/>
      <c r="J107" s="1007"/>
      <c r="K107" s="1007"/>
      <c r="L107" s="1008"/>
      <c r="M107" s="134">
        <v>0</v>
      </c>
      <c r="N107" s="303">
        <f>'Cost-Share'!AV92</f>
        <v>0</v>
      </c>
    </row>
    <row r="108" spans="2:14" ht="15" customHeight="1">
      <c r="B108" s="970">
        <f>'Bdgt Yr 1'!B108</f>
        <v>251310</v>
      </c>
      <c r="C108" s="971"/>
      <c r="D108" s="1549" t="str">
        <f>IF(ISERROR(VLOOKUP(B108,Constants!$X$2:AA$473,1,FALSE)),"No Match",VLOOKUP('Bdgt Yr 1'!B108,Constants!$X$2:$AA$473,4,FALSE))</f>
        <v>Rent/Lease Other Facilities</v>
      </c>
      <c r="E108" s="1550"/>
      <c r="F108" s="1006"/>
      <c r="G108" s="1007"/>
      <c r="H108" s="1007"/>
      <c r="I108" s="1007"/>
      <c r="J108" s="1007"/>
      <c r="K108" s="1007"/>
      <c r="L108" s="1008"/>
      <c r="M108" s="134">
        <v>0</v>
      </c>
      <c r="N108" s="303">
        <f>'Cost-Share'!AV93</f>
        <v>0</v>
      </c>
    </row>
    <row r="109" spans="2:14" ht="15" customHeight="1">
      <c r="B109" s="970">
        <f>'Bdgt Yr 1'!B109</f>
        <v>251320</v>
      </c>
      <c r="C109" s="971"/>
      <c r="D109" s="1549" t="str">
        <f>IF(ISERROR(VLOOKUP(B109,Constants!$X$2:AA$473,1,FALSE)),"No Match",VLOOKUP('Bdgt Yr 1'!B109,Constants!$X$2:$AA$473,4,FALSE))</f>
        <v>Room Rental for Conferences</v>
      </c>
      <c r="E109" s="1550"/>
      <c r="F109" s="1006"/>
      <c r="G109" s="1007"/>
      <c r="H109" s="1007"/>
      <c r="I109" s="1007"/>
      <c r="J109" s="1007"/>
      <c r="K109" s="1007"/>
      <c r="L109" s="1008"/>
      <c r="M109" s="134">
        <v>0</v>
      </c>
      <c r="N109" s="303">
        <f>'Cost-Share'!AV94</f>
        <v>0</v>
      </c>
    </row>
    <row r="110" spans="2:14" ht="15" customHeight="1">
      <c r="B110" s="970">
        <f>'Bdgt Yr 1'!B110</f>
        <v>252110</v>
      </c>
      <c r="C110" s="971"/>
      <c r="D110" s="1549" t="str">
        <f>IF(ISERROR(VLOOKUP(B110,Constants!$X$2:AA$473,1,FALSE)),"No Match",VLOOKUP('Bdgt Yr 1'!B110,Constants!$X$2:$AA$473,4,FALSE))</f>
        <v>Rent/Lease Motor Vehicle</v>
      </c>
      <c r="E110" s="1550"/>
      <c r="F110" s="1006"/>
      <c r="G110" s="1007"/>
      <c r="H110" s="1007"/>
      <c r="I110" s="1007"/>
      <c r="J110" s="1007"/>
      <c r="K110" s="1007"/>
      <c r="L110" s="1008"/>
      <c r="M110" s="134">
        <v>0</v>
      </c>
      <c r="N110" s="303">
        <f>'Cost-Share'!AV95</f>
        <v>0</v>
      </c>
    </row>
    <row r="111" spans="2:14" ht="14.25" customHeight="1">
      <c r="B111" s="970">
        <f>'Bdgt Yr 1'!B111</f>
        <v>219912</v>
      </c>
      <c r="C111" s="971"/>
      <c r="D111" s="1549" t="str">
        <f>IF(ISERROR(VLOOKUP(B111,Constants!$X$2:AA$473,1,FALSE)),"No Match",VLOOKUP('Bdgt Yr 1'!B111,Constants!$X$2:$AA$473,4,FALSE))</f>
        <v>Research Participant Payments/Incentives</v>
      </c>
      <c r="E111" s="1550"/>
      <c r="F111" s="963"/>
      <c r="G111" s="964"/>
      <c r="H111" s="964"/>
      <c r="I111" s="964"/>
      <c r="J111" s="964"/>
      <c r="K111" s="964"/>
      <c r="L111" s="1143"/>
      <c r="M111" s="134">
        <v>0</v>
      </c>
      <c r="N111" s="303">
        <f>'Cost-Share'!AV96</f>
        <v>0</v>
      </c>
    </row>
    <row r="112" spans="2:14" ht="15.75" customHeight="1" thickBot="1">
      <c r="B112" s="970">
        <f>'Bdgt Yr 1'!B112</f>
        <v>584037</v>
      </c>
      <c r="C112" s="971"/>
      <c r="D112" s="1551" t="str">
        <f>IF(ISERROR(VLOOKUP(B112,Constants!$X$2:AA$473,1,FALSE)),"No Match",VLOOKUP('Bdgt Yr 1'!B112,Constants!$X$2:$AA$473,4,FALSE))</f>
        <v>Gift Cards--NON Employee Only</v>
      </c>
      <c r="E112" s="1552"/>
      <c r="F112" s="963"/>
      <c r="G112" s="964"/>
      <c r="H112" s="964"/>
      <c r="I112" s="964"/>
      <c r="J112" s="964"/>
      <c r="K112" s="964"/>
      <c r="L112" s="1143"/>
      <c r="M112" s="134">
        <v>0</v>
      </c>
      <c r="N112" s="303">
        <f>'Cost-Share'!AV97</f>
        <v>0</v>
      </c>
    </row>
    <row r="113" spans="2:21" ht="15" thickBot="1">
      <c r="B113" s="1553" t="s">
        <v>215</v>
      </c>
      <c r="C113" s="1554"/>
      <c r="D113" s="1554"/>
      <c r="E113" s="1554"/>
      <c r="F113" s="1554"/>
      <c r="G113" s="1554"/>
      <c r="H113" s="1554"/>
      <c r="I113" s="1554"/>
      <c r="J113" s="1554"/>
      <c r="K113" s="1554"/>
      <c r="L113" s="1555"/>
      <c r="M113" s="236">
        <f>SUM(M89:M112)</f>
        <v>0</v>
      </c>
      <c r="N113" s="273">
        <f>SUM(N89:N112)</f>
        <v>0</v>
      </c>
    </row>
    <row r="114" spans="2:21" ht="7.5" customHeight="1" thickBot="1">
      <c r="B114" s="1021"/>
      <c r="C114" s="1022"/>
      <c r="D114" s="1022"/>
      <c r="E114" s="1022"/>
      <c r="F114" s="1022"/>
      <c r="G114" s="1022"/>
      <c r="H114" s="1022"/>
      <c r="I114" s="1022"/>
      <c r="J114" s="1022"/>
      <c r="K114" s="1022"/>
      <c r="L114" s="1022"/>
      <c r="M114" s="1022"/>
      <c r="N114" s="1023"/>
    </row>
    <row r="115" spans="2:21" ht="15" thickBot="1">
      <c r="B115" s="996" t="s">
        <v>216</v>
      </c>
      <c r="C115" s="997"/>
      <c r="D115" s="997"/>
      <c r="E115" s="997"/>
      <c r="F115" s="997"/>
      <c r="G115" s="997"/>
      <c r="H115" s="997"/>
      <c r="I115" s="997"/>
      <c r="J115" s="997"/>
      <c r="K115" s="997"/>
      <c r="L115" s="1018"/>
      <c r="M115" s="236">
        <f>+M54+M67+M86+M74+M113+M62+M81</f>
        <v>0</v>
      </c>
      <c r="N115" s="304">
        <f>'Cost-Share'!AV100</f>
        <v>0</v>
      </c>
    </row>
    <row r="116" spans="2:21" ht="7.5" customHeight="1" thickBot="1">
      <c r="B116" s="1021"/>
      <c r="C116" s="1022"/>
      <c r="D116" s="1022"/>
      <c r="E116" s="1022"/>
      <c r="F116" s="1022"/>
      <c r="G116" s="1022"/>
      <c r="H116" s="1022"/>
      <c r="I116" s="1022"/>
      <c r="J116" s="1022"/>
      <c r="K116" s="1022"/>
      <c r="L116" s="1022"/>
      <c r="M116" s="1022"/>
      <c r="N116" s="1023"/>
    </row>
    <row r="117" spans="2:21" ht="15" thickBot="1">
      <c r="B117" s="1055" t="s">
        <v>217</v>
      </c>
      <c r="C117" s="1056"/>
      <c r="D117" s="1056"/>
      <c r="E117" s="1056"/>
      <c r="F117" s="1056"/>
      <c r="G117" s="1056"/>
      <c r="H117" s="1056"/>
      <c r="I117" s="1056"/>
      <c r="J117" s="1056"/>
      <c r="K117" s="1056"/>
      <c r="L117" s="1057"/>
      <c r="M117" s="236">
        <f>M62+M67+M74+M81-L81</f>
        <v>0</v>
      </c>
      <c r="N117" s="304">
        <f>'Cost-Share'!AV102</f>
        <v>0</v>
      </c>
    </row>
    <row r="118" spans="2:21" ht="7.5" customHeight="1">
      <c r="B118" s="513"/>
      <c r="C118" s="514"/>
      <c r="D118" s="514"/>
      <c r="E118" s="514"/>
      <c r="F118" s="514"/>
      <c r="G118" s="514"/>
      <c r="H118" s="514"/>
      <c r="I118" s="514"/>
      <c r="J118" s="514"/>
      <c r="K118" s="514"/>
      <c r="L118" s="514"/>
      <c r="M118" s="514"/>
      <c r="N118" s="147"/>
      <c r="R118" s="480"/>
      <c r="S118" s="480"/>
      <c r="T118" s="480"/>
      <c r="U118" s="480"/>
    </row>
    <row r="119" spans="2:21" ht="14.45" customHeight="1">
      <c r="B119" s="1048" t="s">
        <v>218</v>
      </c>
      <c r="C119" s="997"/>
      <c r="D119" s="997"/>
      <c r="E119" s="997"/>
      <c r="F119" s="997"/>
      <c r="G119" s="474" t="s">
        <v>219</v>
      </c>
      <c r="H119" s="475">
        <f>'Bdgt Yr 1'!H119</f>
        <v>0.47599999999999998</v>
      </c>
      <c r="I119" s="476"/>
      <c r="J119" s="477" t="s">
        <v>220</v>
      </c>
      <c r="K119" s="478">
        <f>M115-M117</f>
        <v>0</v>
      </c>
      <c r="L119" s="479"/>
      <c r="M119" s="236">
        <f>ROUNDUP(H119*K119,0)</f>
        <v>0</v>
      </c>
      <c r="N119" s="304">
        <f>'Cost-Share'!AV104</f>
        <v>0</v>
      </c>
      <c r="R119" s="480"/>
      <c r="S119" s="480"/>
      <c r="T119" s="480"/>
      <c r="U119" s="480"/>
    </row>
    <row r="120" spans="2:21" ht="7.5" customHeight="1">
      <c r="B120" s="1021"/>
      <c r="C120" s="1022"/>
      <c r="D120" s="1022"/>
      <c r="E120" s="1022"/>
      <c r="F120" s="1022"/>
      <c r="G120" s="1022"/>
      <c r="H120" s="1022"/>
      <c r="I120" s="1022"/>
      <c r="J120" s="1022"/>
      <c r="K120" s="1022"/>
      <c r="L120" s="1022"/>
      <c r="M120" s="1022"/>
      <c r="N120" s="1023"/>
      <c r="R120" s="480"/>
      <c r="S120" s="480"/>
      <c r="T120" s="480"/>
      <c r="U120" s="480"/>
    </row>
    <row r="121" spans="2:21" ht="15" customHeight="1" thickBot="1">
      <c r="B121" s="996" t="s">
        <v>221</v>
      </c>
      <c r="C121" s="997"/>
      <c r="D121" s="997"/>
      <c r="E121" s="997"/>
      <c r="F121" s="997"/>
      <c r="G121" s="997"/>
      <c r="H121" s="997"/>
      <c r="I121" s="997"/>
      <c r="J121" s="997"/>
      <c r="K121" s="997"/>
      <c r="L121" s="1018"/>
      <c r="M121" s="345">
        <f>+M115+M119</f>
        <v>0</v>
      </c>
      <c r="N121" s="346">
        <f>+N115+N119</f>
        <v>0</v>
      </c>
      <c r="O121" s="259" t="s">
        <v>222</v>
      </c>
      <c r="P121" s="261">
        <v>0</v>
      </c>
      <c r="R121" s="480"/>
      <c r="S121" s="480"/>
      <c r="T121" s="480"/>
      <c r="U121" s="480"/>
    </row>
    <row r="122" spans="2:21" ht="7.5" customHeight="1" thickBot="1">
      <c r="B122" s="1021"/>
      <c r="C122" s="1022"/>
      <c r="D122" s="1022"/>
      <c r="E122" s="1022"/>
      <c r="F122" s="1022"/>
      <c r="G122" s="1022"/>
      <c r="H122" s="1022"/>
      <c r="I122" s="1022"/>
      <c r="J122" s="1022"/>
      <c r="K122" s="1022"/>
      <c r="L122" s="1022"/>
      <c r="M122" s="1022"/>
      <c r="N122" s="1023"/>
      <c r="O122" s="195"/>
      <c r="P122" s="195"/>
    </row>
    <row r="123" spans="2:21" ht="15" thickBot="1">
      <c r="B123" s="482"/>
      <c r="C123" s="483"/>
      <c r="D123" s="483"/>
      <c r="E123" s="483"/>
      <c r="F123" s="483"/>
      <c r="G123" s="483"/>
      <c r="H123" s="483"/>
      <c r="I123" s="483"/>
      <c r="J123" s="483"/>
      <c r="K123" s="483"/>
      <c r="L123" s="484" t="s">
        <v>243</v>
      </c>
      <c r="M123" s="1024">
        <f>+M121+N121</f>
        <v>0</v>
      </c>
      <c r="N123" s="1025"/>
      <c r="O123" s="259" t="s">
        <v>224</v>
      </c>
      <c r="P123" s="261">
        <f>(P121-M117)/(H119+1)</f>
        <v>0</v>
      </c>
      <c r="R123" s="480"/>
      <c r="S123" s="480"/>
      <c r="T123" s="480"/>
      <c r="U123" s="480"/>
    </row>
    <row r="124" spans="2:21">
      <c r="B124" s="1005"/>
      <c r="C124" s="1005"/>
      <c r="D124" s="1005"/>
      <c r="E124" s="1005"/>
      <c r="F124" s="1005"/>
      <c r="G124" s="1005"/>
      <c r="H124" s="1005"/>
      <c r="I124" s="1005"/>
      <c r="J124" s="1005"/>
      <c r="K124" s="1005"/>
      <c r="L124" s="1005"/>
      <c r="M124" s="1005"/>
      <c r="N124" s="1005"/>
      <c r="R124" s="487"/>
      <c r="S124" s="487"/>
      <c r="T124" s="487"/>
      <c r="U124" s="487"/>
    </row>
    <row r="125" spans="2:21">
      <c r="B125" s="1005"/>
      <c r="C125" s="1005"/>
      <c r="D125" s="1005"/>
      <c r="E125" s="1005"/>
      <c r="F125" s="1005"/>
      <c r="G125" s="1005"/>
      <c r="H125" s="1005"/>
      <c r="I125" s="1005"/>
      <c r="J125" s="1005"/>
      <c r="K125" s="1005"/>
      <c r="L125" s="1005"/>
      <c r="M125" s="1005"/>
      <c r="N125" s="1005"/>
      <c r="R125" s="480"/>
      <c r="S125" s="480"/>
      <c r="T125" s="480"/>
      <c r="U125" s="480"/>
    </row>
    <row r="126" spans="2:21">
      <c r="B126" s="481"/>
      <c r="C126" s="473"/>
      <c r="D126" s="473"/>
      <c r="E126" s="473"/>
      <c r="F126" s="473"/>
      <c r="G126" s="473"/>
      <c r="H126" s="485"/>
      <c r="I126" s="485"/>
      <c r="J126" s="485"/>
      <c r="K126" s="485"/>
      <c r="L126" s="486"/>
      <c r="M126" s="486"/>
      <c r="N126" s="486"/>
      <c r="R126" s="487"/>
      <c r="S126" s="487"/>
      <c r="T126" s="487"/>
      <c r="U126" s="487"/>
    </row>
    <row r="127" spans="2:21">
      <c r="B127" s="481"/>
      <c r="C127" s="473"/>
      <c r="D127" s="473"/>
      <c r="E127" s="473"/>
      <c r="F127" s="473"/>
      <c r="G127" s="473"/>
      <c r="H127" s="485"/>
      <c r="I127" s="485"/>
      <c r="J127" s="485"/>
      <c r="K127" s="485"/>
      <c r="L127" s="486"/>
      <c r="M127" s="486"/>
      <c r="N127" s="486"/>
      <c r="O127" s="486"/>
      <c r="P127" s="486"/>
      <c r="R127" s="480"/>
      <c r="S127" s="480"/>
      <c r="T127" s="480"/>
      <c r="U127" s="480"/>
    </row>
    <row r="128" spans="2:21">
      <c r="B128" s="481"/>
      <c r="C128" s="473"/>
      <c r="D128" s="473"/>
      <c r="E128" s="473"/>
      <c r="F128" s="473"/>
      <c r="G128" s="473"/>
      <c r="H128" s="485"/>
      <c r="I128" s="485"/>
      <c r="J128" s="485"/>
      <c r="K128" s="485"/>
      <c r="L128" s="486"/>
      <c r="M128" s="486"/>
      <c r="N128" s="486"/>
      <c r="O128" s="486"/>
      <c r="P128" s="486"/>
      <c r="R128" s="487"/>
      <c r="S128" s="487"/>
      <c r="T128" s="487"/>
      <c r="U128" s="487"/>
    </row>
    <row r="129" spans="2:21">
      <c r="B129" s="481"/>
      <c r="C129" s="473"/>
      <c r="D129" s="473"/>
      <c r="E129" s="473"/>
      <c r="F129" s="473"/>
      <c r="G129" s="473"/>
      <c r="H129" s="485"/>
      <c r="I129" s="485"/>
      <c r="J129" s="485"/>
      <c r="K129" s="485"/>
      <c r="L129" s="486"/>
      <c r="M129" s="486"/>
      <c r="N129" s="486"/>
      <c r="O129" s="486"/>
      <c r="P129" s="486"/>
      <c r="R129" s="480"/>
      <c r="S129" s="480"/>
      <c r="T129" s="480"/>
      <c r="U129" s="480"/>
    </row>
    <row r="130" spans="2:21">
      <c r="B130" s="481"/>
      <c r="C130" s="473"/>
      <c r="D130" s="473"/>
      <c r="E130" s="473"/>
      <c r="F130" s="473"/>
      <c r="G130" s="473"/>
      <c r="H130" s="485"/>
      <c r="I130" s="485"/>
      <c r="J130" s="485"/>
      <c r="K130" s="485"/>
      <c r="L130" s="486"/>
      <c r="M130" s="486"/>
      <c r="N130" s="486"/>
      <c r="O130" s="486"/>
      <c r="P130" s="486"/>
      <c r="R130" s="487"/>
      <c r="S130" s="487"/>
      <c r="T130" s="487"/>
      <c r="U130" s="487"/>
    </row>
    <row r="131" spans="2:21">
      <c r="B131" s="481"/>
      <c r="C131" s="473"/>
      <c r="D131" s="473"/>
      <c r="E131" s="473"/>
      <c r="F131" s="473"/>
      <c r="G131" s="473"/>
      <c r="H131" s="473"/>
      <c r="I131" s="473"/>
      <c r="J131" s="486"/>
      <c r="K131" s="486"/>
      <c r="L131" s="486"/>
      <c r="M131" s="486"/>
      <c r="N131" s="486"/>
      <c r="O131" s="486"/>
      <c r="P131" s="486"/>
      <c r="R131" s="487"/>
      <c r="S131" s="487"/>
      <c r="T131" s="487"/>
      <c r="U131" s="487"/>
    </row>
    <row r="132" spans="2:21">
      <c r="B132" s="481"/>
      <c r="C132" s="473"/>
      <c r="D132" s="473"/>
      <c r="E132" s="473"/>
      <c r="F132" s="473"/>
      <c r="G132" s="473"/>
      <c r="H132" s="473"/>
      <c r="I132" s="473"/>
      <c r="J132" s="486"/>
      <c r="K132" s="486"/>
      <c r="L132" s="486"/>
      <c r="M132" s="473"/>
      <c r="N132" s="473"/>
      <c r="O132" s="473"/>
      <c r="P132" s="473"/>
      <c r="R132" s="487"/>
      <c r="S132" s="487"/>
      <c r="T132" s="487"/>
      <c r="U132" s="487"/>
    </row>
    <row r="133" spans="2:21">
      <c r="B133" s="481"/>
      <c r="C133" s="473"/>
      <c r="D133" s="473"/>
      <c r="E133" s="473"/>
      <c r="F133" s="473"/>
      <c r="G133" s="473"/>
      <c r="H133" s="473"/>
      <c r="I133" s="473"/>
      <c r="J133" s="486"/>
      <c r="K133" s="486"/>
      <c r="L133" s="486"/>
      <c r="M133" s="486"/>
      <c r="N133" s="486"/>
      <c r="O133" s="486"/>
      <c r="P133" s="486"/>
      <c r="R133" s="487"/>
      <c r="S133" s="487"/>
      <c r="T133" s="487"/>
      <c r="U133" s="487"/>
    </row>
    <row r="134" spans="2:21">
      <c r="B134" s="481"/>
      <c r="C134" s="473"/>
      <c r="D134" s="473"/>
      <c r="E134" s="473"/>
      <c r="F134" s="473"/>
      <c r="G134" s="473"/>
      <c r="H134" s="473"/>
      <c r="I134" s="473"/>
      <c r="J134" s="486"/>
      <c r="K134" s="486"/>
      <c r="L134" s="486"/>
      <c r="M134" s="473"/>
      <c r="N134" s="473"/>
      <c r="O134" s="473"/>
      <c r="P134" s="473"/>
      <c r="R134" s="487"/>
      <c r="S134" s="487"/>
      <c r="T134" s="487"/>
      <c r="U134" s="487"/>
    </row>
    <row r="135" spans="2:21">
      <c r="B135" s="481"/>
      <c r="C135" s="473"/>
      <c r="D135" s="473"/>
      <c r="E135" s="473"/>
      <c r="F135" s="473"/>
      <c r="G135" s="473"/>
      <c r="H135" s="486"/>
      <c r="I135" s="486"/>
      <c r="J135" s="486"/>
      <c r="K135" s="486"/>
      <c r="L135" s="486"/>
      <c r="M135" s="486"/>
      <c r="N135" s="486"/>
      <c r="O135" s="486"/>
      <c r="P135" s="486"/>
      <c r="R135" s="487"/>
      <c r="S135" s="487"/>
      <c r="T135" s="487"/>
      <c r="U135" s="487"/>
    </row>
    <row r="136" spans="2:21">
      <c r="B136" s="488"/>
      <c r="C136" s="473"/>
      <c r="D136" s="473"/>
      <c r="E136" s="473"/>
      <c r="F136" s="473"/>
      <c r="G136" s="473"/>
      <c r="H136" s="473"/>
      <c r="I136" s="473"/>
      <c r="J136" s="486"/>
      <c r="K136" s="486"/>
      <c r="L136" s="486"/>
      <c r="M136" s="473"/>
      <c r="N136" s="473"/>
      <c r="O136" s="473"/>
      <c r="P136" s="473"/>
      <c r="R136" s="487"/>
      <c r="S136" s="487"/>
      <c r="T136" s="487"/>
      <c r="U136" s="487"/>
    </row>
    <row r="137" spans="2:21">
      <c r="B137" s="488"/>
      <c r="C137" s="473"/>
      <c r="D137" s="473"/>
      <c r="E137" s="473"/>
      <c r="F137" s="473"/>
      <c r="G137" s="473"/>
      <c r="H137" s="473"/>
      <c r="I137" s="473"/>
      <c r="J137" s="486"/>
      <c r="K137" s="486"/>
      <c r="L137" s="486"/>
      <c r="M137" s="486"/>
      <c r="N137" s="486"/>
      <c r="O137" s="486"/>
      <c r="P137" s="486"/>
      <c r="R137" s="487"/>
      <c r="S137" s="487"/>
      <c r="T137" s="487"/>
      <c r="U137" s="487"/>
    </row>
    <row r="138" spans="2:21">
      <c r="B138" s="488"/>
      <c r="C138" s="473"/>
      <c r="D138" s="473"/>
      <c r="E138" s="473"/>
      <c r="F138" s="473"/>
      <c r="G138" s="473"/>
      <c r="H138" s="473"/>
      <c r="I138" s="473"/>
      <c r="J138" s="473"/>
      <c r="K138" s="473"/>
      <c r="L138" s="473"/>
      <c r="M138" s="473"/>
      <c r="N138" s="473"/>
      <c r="O138" s="473"/>
      <c r="P138" s="473"/>
      <c r="R138" s="487"/>
      <c r="S138" s="487"/>
      <c r="T138" s="487"/>
      <c r="U138" s="487"/>
    </row>
    <row r="139" spans="2:21">
      <c r="B139" s="488"/>
      <c r="C139" s="473"/>
      <c r="D139" s="473"/>
      <c r="E139" s="473"/>
      <c r="F139" s="473"/>
      <c r="G139" s="473"/>
      <c r="H139" s="473"/>
      <c r="I139" s="473"/>
      <c r="J139" s="473"/>
      <c r="K139" s="473"/>
      <c r="L139" s="473"/>
      <c r="M139" s="473"/>
      <c r="N139" s="473"/>
      <c r="O139" s="473"/>
      <c r="P139" s="473"/>
      <c r="R139" s="487"/>
      <c r="S139" s="487"/>
      <c r="T139" s="487"/>
      <c r="U139" s="487"/>
    </row>
    <row r="140" spans="2:21">
      <c r="B140" s="488"/>
      <c r="C140" s="473"/>
      <c r="D140" s="473"/>
      <c r="E140" s="473"/>
      <c r="F140" s="473"/>
      <c r="G140" s="473"/>
      <c r="H140" s="473"/>
      <c r="I140" s="473"/>
      <c r="J140" s="473"/>
      <c r="K140" s="473"/>
      <c r="L140" s="473"/>
      <c r="M140" s="473"/>
      <c r="N140" s="473"/>
      <c r="O140" s="473"/>
      <c r="P140" s="473"/>
      <c r="R140" s="487"/>
      <c r="S140" s="487"/>
      <c r="T140" s="487"/>
      <c r="U140" s="487"/>
    </row>
    <row r="141" spans="2:21">
      <c r="B141" s="488"/>
      <c r="C141" s="473"/>
      <c r="D141" s="473"/>
      <c r="E141" s="473"/>
      <c r="F141" s="473"/>
      <c r="G141" s="473"/>
      <c r="H141" s="473"/>
      <c r="I141" s="473"/>
      <c r="J141" s="473"/>
      <c r="K141" s="473"/>
      <c r="L141" s="473"/>
      <c r="M141" s="473"/>
      <c r="N141" s="473"/>
      <c r="O141" s="473"/>
      <c r="P141" s="473"/>
      <c r="R141" s="487"/>
      <c r="S141" s="487"/>
      <c r="T141" s="487"/>
      <c r="U141" s="487"/>
    </row>
    <row r="142" spans="2:21">
      <c r="B142" s="488"/>
      <c r="C142" s="473"/>
      <c r="D142" s="473"/>
      <c r="E142" s="473"/>
      <c r="F142" s="473"/>
      <c r="G142" s="473"/>
      <c r="H142" s="473"/>
      <c r="I142" s="473"/>
      <c r="J142" s="473"/>
      <c r="K142" s="473"/>
      <c r="L142" s="473"/>
      <c r="M142" s="473"/>
      <c r="N142" s="473"/>
      <c r="O142" s="473"/>
      <c r="P142" s="473"/>
      <c r="R142" s="487"/>
      <c r="S142" s="487"/>
      <c r="T142" s="487"/>
      <c r="U142" s="487"/>
    </row>
    <row r="143" spans="2:21">
      <c r="B143" s="488"/>
      <c r="C143" s="473"/>
      <c r="D143" s="473"/>
      <c r="E143" s="473"/>
      <c r="F143" s="473"/>
      <c r="G143" s="473"/>
      <c r="H143" s="473"/>
      <c r="I143" s="473"/>
      <c r="J143" s="473"/>
      <c r="K143" s="473"/>
      <c r="L143" s="473"/>
      <c r="M143" s="473"/>
      <c r="N143" s="473"/>
      <c r="O143" s="473"/>
      <c r="P143" s="473"/>
      <c r="R143" s="487"/>
      <c r="S143" s="487"/>
      <c r="T143" s="487"/>
      <c r="U143" s="487"/>
    </row>
    <row r="144" spans="2:21">
      <c r="B144" s="488"/>
      <c r="C144" s="473"/>
      <c r="D144" s="473"/>
      <c r="E144" s="473"/>
      <c r="F144" s="473"/>
      <c r="G144" s="473"/>
      <c r="H144" s="473"/>
      <c r="I144" s="473"/>
      <c r="J144" s="473"/>
      <c r="K144" s="473"/>
      <c r="L144" s="473"/>
      <c r="M144" s="473"/>
      <c r="N144" s="473"/>
      <c r="O144" s="473"/>
      <c r="P144" s="473"/>
      <c r="R144" s="487"/>
      <c r="S144" s="487"/>
      <c r="T144" s="487"/>
      <c r="U144" s="487"/>
    </row>
    <row r="145" spans="2:21">
      <c r="B145" s="488"/>
      <c r="C145" s="473"/>
      <c r="D145" s="473"/>
      <c r="E145" s="473"/>
      <c r="F145" s="473"/>
      <c r="G145" s="473"/>
      <c r="H145" s="473"/>
      <c r="I145" s="473"/>
      <c r="J145" s="473"/>
      <c r="K145" s="473"/>
      <c r="L145" s="473"/>
      <c r="M145" s="473"/>
      <c r="N145" s="473"/>
      <c r="O145" s="473"/>
      <c r="P145" s="473"/>
      <c r="R145" s="487"/>
      <c r="S145" s="487"/>
      <c r="T145" s="487"/>
      <c r="U145" s="487"/>
    </row>
    <row r="146" spans="2:21">
      <c r="B146" s="488"/>
      <c r="C146" s="473"/>
      <c r="D146" s="473"/>
      <c r="E146" s="473"/>
      <c r="F146" s="473"/>
      <c r="G146" s="473"/>
      <c r="H146" s="473"/>
      <c r="I146" s="473"/>
      <c r="J146" s="473"/>
      <c r="K146" s="473"/>
      <c r="L146" s="473"/>
      <c r="M146" s="473"/>
      <c r="N146" s="473"/>
      <c r="O146" s="473"/>
      <c r="P146" s="473"/>
      <c r="R146" s="487"/>
      <c r="S146" s="487"/>
      <c r="T146" s="487"/>
      <c r="U146" s="487"/>
    </row>
    <row r="147" spans="2:21">
      <c r="B147" s="488"/>
      <c r="C147" s="473"/>
      <c r="D147" s="473"/>
      <c r="E147" s="473"/>
      <c r="F147" s="473"/>
      <c r="G147" s="473"/>
      <c r="H147" s="473"/>
      <c r="I147" s="473"/>
      <c r="J147" s="473"/>
      <c r="K147" s="473"/>
      <c r="L147" s="473"/>
      <c r="M147" s="473"/>
      <c r="N147" s="473"/>
      <c r="O147" s="473"/>
      <c r="P147" s="473"/>
    </row>
    <row r="148" spans="2:21">
      <c r="B148" s="488"/>
      <c r="C148" s="473"/>
      <c r="D148" s="473"/>
      <c r="E148" s="473"/>
      <c r="F148" s="473"/>
      <c r="G148" s="473"/>
      <c r="H148" s="473"/>
      <c r="I148" s="473"/>
      <c r="J148" s="473"/>
      <c r="K148" s="473"/>
      <c r="L148" s="473"/>
      <c r="M148" s="473"/>
      <c r="N148" s="473"/>
      <c r="O148" s="473"/>
      <c r="P148" s="473"/>
    </row>
    <row r="149" spans="2:21">
      <c r="B149" s="488"/>
      <c r="C149" s="473"/>
      <c r="D149" s="473"/>
      <c r="E149" s="473"/>
      <c r="F149" s="473"/>
      <c r="G149" s="473"/>
      <c r="H149" s="473"/>
      <c r="I149" s="473"/>
      <c r="J149" s="473"/>
      <c r="K149" s="473"/>
      <c r="L149" s="473"/>
      <c r="M149" s="473"/>
      <c r="N149" s="473"/>
      <c r="O149" s="473"/>
      <c r="P149" s="473"/>
    </row>
    <row r="150" spans="2:21">
      <c r="B150" s="488"/>
      <c r="C150" s="473"/>
      <c r="D150" s="473"/>
      <c r="E150" s="473"/>
      <c r="F150" s="473"/>
      <c r="G150" s="473"/>
      <c r="H150" s="473"/>
      <c r="I150" s="473"/>
      <c r="J150" s="473"/>
      <c r="K150" s="473"/>
      <c r="L150" s="473"/>
      <c r="M150" s="473"/>
      <c r="N150" s="473"/>
      <c r="O150" s="473"/>
      <c r="P150" s="473"/>
    </row>
    <row r="151" spans="2:21" hidden="1">
      <c r="B151" s="488"/>
      <c r="C151" s="473"/>
      <c r="D151" s="473"/>
      <c r="E151" s="473"/>
      <c r="F151" s="473"/>
      <c r="G151" s="473"/>
      <c r="H151" s="473"/>
      <c r="I151" s="473"/>
      <c r="J151" s="473"/>
      <c r="K151" s="473"/>
      <c r="L151" s="473"/>
      <c r="M151" s="473"/>
      <c r="N151" s="473"/>
      <c r="O151" s="473"/>
      <c r="P151" s="473"/>
    </row>
    <row r="152" spans="2:21" hidden="1">
      <c r="B152" s="488"/>
      <c r="C152" s="473"/>
      <c r="D152" s="473"/>
      <c r="E152" s="473"/>
      <c r="F152" s="473"/>
      <c r="G152" s="473"/>
      <c r="H152" s="473"/>
      <c r="I152" s="473"/>
      <c r="J152" s="473"/>
      <c r="K152" s="473"/>
      <c r="L152" s="473"/>
      <c r="M152" s="473"/>
      <c r="N152" s="473"/>
      <c r="O152" s="473"/>
      <c r="P152" s="473"/>
    </row>
    <row r="153" spans="2:21">
      <c r="B153" s="488"/>
      <c r="C153" s="473"/>
      <c r="D153" s="473"/>
      <c r="E153" s="473"/>
      <c r="F153" s="473"/>
      <c r="G153" s="473"/>
      <c r="H153" s="473"/>
      <c r="I153" s="473"/>
      <c r="J153" s="473"/>
      <c r="K153" s="473"/>
      <c r="L153" s="473"/>
      <c r="M153" s="473"/>
      <c r="N153" s="473"/>
      <c r="O153" s="473"/>
      <c r="P153" s="473"/>
    </row>
    <row r="154" spans="2:21">
      <c r="B154" s="488"/>
      <c r="C154" s="473"/>
      <c r="D154" s="473"/>
      <c r="E154" s="473"/>
      <c r="F154" s="473"/>
      <c r="G154" s="473"/>
      <c r="H154" s="473"/>
      <c r="I154" s="473"/>
      <c r="J154" s="473"/>
      <c r="K154" s="473"/>
      <c r="L154" s="473"/>
      <c r="M154" s="473"/>
      <c r="N154" s="473"/>
      <c r="O154" s="473"/>
      <c r="P154" s="473"/>
    </row>
    <row r="155" spans="2:21"/>
    <row r="156" spans="2:21"/>
    <row r="157" spans="2:21"/>
    <row r="158" spans="2:21"/>
    <row r="159" spans="2:21"/>
    <row r="160" spans="2:21"/>
    <row r="161"/>
    <row r="162"/>
    <row r="163"/>
    <row r="164"/>
    <row r="165"/>
    <row r="166"/>
    <row r="167"/>
    <row r="168"/>
    <row r="169"/>
    <row r="170"/>
    <row r="171"/>
    <row r="172"/>
    <row r="173"/>
    <row r="174"/>
    <row r="175"/>
    <row r="176"/>
    <row r="177"/>
    <row r="178"/>
    <row r="179"/>
    <row r="180"/>
  </sheetData>
  <protectedRanges>
    <protectedRange sqref="I12:J23 M77:M80 F89:M112 F30:J31 D30:D31 D37:D38 B45:C51 F45:J48 D45:D49 F61:M61 D59:D61 F70:M73 D70:D73 F65:M66 D65:D66 F77:K80 D77:D80 F84:M85 D84:D85 B12:G23 F59:L60 F37:H38 J37:K38" name="Range1"/>
    <protectedRange sqref="F49:J51 E49 D50:D51" name="Range1_1"/>
    <protectedRange sqref="B30:C31" name="Range1_4_1"/>
    <protectedRange sqref="B37:C38" name="Range1_4_2"/>
    <protectedRange sqref="M59:M60" name="Range1_2"/>
  </protectedRanges>
  <mergeCells count="249">
    <mergeCell ref="F88:M88"/>
    <mergeCell ref="F83:M83"/>
    <mergeCell ref="B107:C107"/>
    <mergeCell ref="B108:C108"/>
    <mergeCell ref="B109:C109"/>
    <mergeCell ref="B81:K81"/>
    <mergeCell ref="B79:C79"/>
    <mergeCell ref="B86:L86"/>
    <mergeCell ref="B88:E88"/>
    <mergeCell ref="B84:C84"/>
    <mergeCell ref="B85:C85"/>
    <mergeCell ref="B80:C80"/>
    <mergeCell ref="B82:M82"/>
    <mergeCell ref="B87:M87"/>
    <mergeCell ref="F109:L109"/>
    <mergeCell ref="F84:L84"/>
    <mergeCell ref="F85:L85"/>
    <mergeCell ref="B83:E83"/>
    <mergeCell ref="F79:K79"/>
    <mergeCell ref="F80:K80"/>
    <mergeCell ref="B89:C89"/>
    <mergeCell ref="B90:C90"/>
    <mergeCell ref="B91:C91"/>
    <mergeCell ref="B105:C105"/>
    <mergeCell ref="B77:C77"/>
    <mergeCell ref="B78:C78"/>
    <mergeCell ref="B73:C73"/>
    <mergeCell ref="F78:K78"/>
    <mergeCell ref="B65:C65"/>
    <mergeCell ref="B66:C66"/>
    <mergeCell ref="F77:K77"/>
    <mergeCell ref="B76:E76"/>
    <mergeCell ref="F76:M76"/>
    <mergeCell ref="B68:M68"/>
    <mergeCell ref="B75:M75"/>
    <mergeCell ref="F69:M69"/>
    <mergeCell ref="B74:L74"/>
    <mergeCell ref="B70:C70"/>
    <mergeCell ref="B71:C71"/>
    <mergeCell ref="B72:C72"/>
    <mergeCell ref="D73:E73"/>
    <mergeCell ref="D77:E77"/>
    <mergeCell ref="D78:E78"/>
    <mergeCell ref="R6:U6"/>
    <mergeCell ref="B10:M10"/>
    <mergeCell ref="R28:U28"/>
    <mergeCell ref="R43:U43"/>
    <mergeCell ref="F2:H3"/>
    <mergeCell ref="I2:K3"/>
    <mergeCell ref="L2:L3"/>
    <mergeCell ref="F22:G22"/>
    <mergeCell ref="F23:G23"/>
    <mergeCell ref="M2:P3"/>
    <mergeCell ref="B29:C29"/>
    <mergeCell ref="B30:C30"/>
    <mergeCell ref="F21:G21"/>
    <mergeCell ref="B24:J24"/>
    <mergeCell ref="B25:M25"/>
    <mergeCell ref="N28:P28"/>
    <mergeCell ref="B8:P8"/>
    <mergeCell ref="B28:M28"/>
    <mergeCell ref="B43:M43"/>
    <mergeCell ref="B39:J39"/>
    <mergeCell ref="R35:U35"/>
    <mergeCell ref="B35:M35"/>
    <mergeCell ref="N35:P35"/>
    <mergeCell ref="N43:P43"/>
    <mergeCell ref="B63:M63"/>
    <mergeCell ref="F73:L73"/>
    <mergeCell ref="F66:L66"/>
    <mergeCell ref="L4:P4"/>
    <mergeCell ref="N10:P10"/>
    <mergeCell ref="F20:G20"/>
    <mergeCell ref="F11:G11"/>
    <mergeCell ref="F12:G12"/>
    <mergeCell ref="F13:G13"/>
    <mergeCell ref="F14:G14"/>
    <mergeCell ref="F15:G15"/>
    <mergeCell ref="F16:G16"/>
    <mergeCell ref="F17:G17"/>
    <mergeCell ref="F19:G19"/>
    <mergeCell ref="C4:I4"/>
    <mergeCell ref="F18:G18"/>
    <mergeCell ref="B7:M7"/>
    <mergeCell ref="B6:P6"/>
    <mergeCell ref="F70:L70"/>
    <mergeCell ref="F71:L71"/>
    <mergeCell ref="F72:L72"/>
    <mergeCell ref="B64:E64"/>
    <mergeCell ref="B69:E69"/>
    <mergeCell ref="B62:L62"/>
    <mergeCell ref="B51:C51"/>
    <mergeCell ref="H49:I49"/>
    <mergeCell ref="H50:I50"/>
    <mergeCell ref="H60:I60"/>
    <mergeCell ref="F59:G59"/>
    <mergeCell ref="J58:L58"/>
    <mergeCell ref="J59:L59"/>
    <mergeCell ref="J60:L60"/>
    <mergeCell ref="F58:G58"/>
    <mergeCell ref="H58:I58"/>
    <mergeCell ref="H59:I59"/>
    <mergeCell ref="H51:I51"/>
    <mergeCell ref="B58:E58"/>
    <mergeCell ref="B59:C59"/>
    <mergeCell ref="B57:M57"/>
    <mergeCell ref="B45:C45"/>
    <mergeCell ref="B46:C46"/>
    <mergeCell ref="B47:C47"/>
    <mergeCell ref="B48:C48"/>
    <mergeCell ref="B36:C36"/>
    <mergeCell ref="B37:C37"/>
    <mergeCell ref="B38:C38"/>
    <mergeCell ref="D47:G47"/>
    <mergeCell ref="D48:G48"/>
    <mergeCell ref="B40:M40"/>
    <mergeCell ref="B41:P41"/>
    <mergeCell ref="H36:I36"/>
    <mergeCell ref="H37:I37"/>
    <mergeCell ref="H38:I38"/>
    <mergeCell ref="R41:U41"/>
    <mergeCell ref="B42:M42"/>
    <mergeCell ref="B44:C44"/>
    <mergeCell ref="B124:N125"/>
    <mergeCell ref="F105:L105"/>
    <mergeCell ref="F106:L106"/>
    <mergeCell ref="F107:L107"/>
    <mergeCell ref="F108:L108"/>
    <mergeCell ref="F110:L110"/>
    <mergeCell ref="F111:L111"/>
    <mergeCell ref="F112:L112"/>
    <mergeCell ref="B121:L121"/>
    <mergeCell ref="B119:F119"/>
    <mergeCell ref="B115:L115"/>
    <mergeCell ref="B113:L113"/>
    <mergeCell ref="B111:C111"/>
    <mergeCell ref="B112:C112"/>
    <mergeCell ref="B110:C110"/>
    <mergeCell ref="B114:N114"/>
    <mergeCell ref="B120:N120"/>
    <mergeCell ref="M123:N123"/>
    <mergeCell ref="B122:N122"/>
    <mergeCell ref="B106:C106"/>
    <mergeCell ref="B117:L117"/>
    <mergeCell ref="B116:N116"/>
    <mergeCell ref="B94:C94"/>
    <mergeCell ref="B95:C95"/>
    <mergeCell ref="B96:C96"/>
    <mergeCell ref="B97:C97"/>
    <mergeCell ref="B98:C98"/>
    <mergeCell ref="R8:U8"/>
    <mergeCell ref="B9:M9"/>
    <mergeCell ref="B26:P26"/>
    <mergeCell ref="R26:U26"/>
    <mergeCell ref="B27:M27"/>
    <mergeCell ref="B32:M32"/>
    <mergeCell ref="B33:P33"/>
    <mergeCell ref="R33:U33"/>
    <mergeCell ref="B34:M34"/>
    <mergeCell ref="R10:U10"/>
    <mergeCell ref="B31:C31"/>
    <mergeCell ref="B54:J54"/>
    <mergeCell ref="B52:J52"/>
    <mergeCell ref="B53:M53"/>
    <mergeCell ref="B55:M55"/>
    <mergeCell ref="B49:C49"/>
    <mergeCell ref="B50:C50"/>
    <mergeCell ref="K49:K51"/>
    <mergeCell ref="B99:C99"/>
    <mergeCell ref="B100:C100"/>
    <mergeCell ref="B101:C101"/>
    <mergeCell ref="B102:C102"/>
    <mergeCell ref="B103:C103"/>
    <mergeCell ref="B104:C104"/>
    <mergeCell ref="F89:L89"/>
    <mergeCell ref="F90:L90"/>
    <mergeCell ref="F91:L91"/>
    <mergeCell ref="F92:L92"/>
    <mergeCell ref="F93:L93"/>
    <mergeCell ref="F94:L94"/>
    <mergeCell ref="F95:L95"/>
    <mergeCell ref="F96:L96"/>
    <mergeCell ref="F97:L97"/>
    <mergeCell ref="F98:L98"/>
    <mergeCell ref="F99:L99"/>
    <mergeCell ref="F100:L100"/>
    <mergeCell ref="F101:L101"/>
    <mergeCell ref="F102:L102"/>
    <mergeCell ref="F103:L103"/>
    <mergeCell ref="F104:L104"/>
    <mergeCell ref="B92:C92"/>
    <mergeCell ref="B93:C93"/>
    <mergeCell ref="D29:G29"/>
    <mergeCell ref="D30:G30"/>
    <mergeCell ref="D31:G31"/>
    <mergeCell ref="D36:G36"/>
    <mergeCell ref="D37:G37"/>
    <mergeCell ref="D38:G38"/>
    <mergeCell ref="D44:G44"/>
    <mergeCell ref="D45:G45"/>
    <mergeCell ref="D46:G46"/>
    <mergeCell ref="D89:E89"/>
    <mergeCell ref="D90:E90"/>
    <mergeCell ref="D91:E91"/>
    <mergeCell ref="D92:E92"/>
    <mergeCell ref="D93:E93"/>
    <mergeCell ref="D49:G49"/>
    <mergeCell ref="D50:G50"/>
    <mergeCell ref="D51:G51"/>
    <mergeCell ref="D59:E59"/>
    <mergeCell ref="D60:E60"/>
    <mergeCell ref="D61:E61"/>
    <mergeCell ref="D70:E70"/>
    <mergeCell ref="D71:E71"/>
    <mergeCell ref="D72:E72"/>
    <mergeCell ref="D65:E65"/>
    <mergeCell ref="D66:E66"/>
    <mergeCell ref="B56:P56"/>
    <mergeCell ref="F64:M64"/>
    <mergeCell ref="F65:L65"/>
    <mergeCell ref="F60:G60"/>
    <mergeCell ref="B60:C60"/>
    <mergeCell ref="B67:L67"/>
    <mergeCell ref="B61:C61"/>
    <mergeCell ref="F61:L61"/>
    <mergeCell ref="D112:E112"/>
    <mergeCell ref="D2:E3"/>
    <mergeCell ref="D103:E103"/>
    <mergeCell ref="D104:E104"/>
    <mergeCell ref="D105:E105"/>
    <mergeCell ref="D106:E106"/>
    <mergeCell ref="D107:E107"/>
    <mergeCell ref="D108:E108"/>
    <mergeCell ref="D109:E109"/>
    <mergeCell ref="D110:E110"/>
    <mergeCell ref="D111:E111"/>
    <mergeCell ref="D94:E94"/>
    <mergeCell ref="D95:E95"/>
    <mergeCell ref="D96:E96"/>
    <mergeCell ref="D97:E97"/>
    <mergeCell ref="D98:E98"/>
    <mergeCell ref="D99:E99"/>
    <mergeCell ref="D100:E100"/>
    <mergeCell ref="D101:E101"/>
    <mergeCell ref="D102:E102"/>
    <mergeCell ref="D79:E79"/>
    <mergeCell ref="D80:E80"/>
    <mergeCell ref="D84:E84"/>
    <mergeCell ref="D85:E85"/>
  </mergeCells>
  <conditionalFormatting sqref="I12:I23">
    <cfRule type="expression" dxfId="0" priority="1">
      <formula>SUM(B12+I12)&gt;12</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7567FCE5-1A49-4AD8-8EB9-8CF01F177AC6}">
          <x14:formula1>
            <xm:f>'Tuition &amp; Fees'!$C$24:$D$24</xm:f>
          </x14:formula1>
          <xm:sqref>H59:H60</xm:sqref>
        </x14:dataValidation>
        <x14:dataValidation type="list" allowBlank="1" showInputMessage="1" showErrorMessage="1" xr:uid="{6528E691-D835-4D1C-A279-63AADA2534BC}">
          <x14:formula1>
            <xm:f>'Tuition &amp; Fees'!$B$4:$B$21</xm:f>
          </x14:formula1>
          <xm:sqref>J59:L59</xm:sqref>
        </x14:dataValidation>
        <x14:dataValidation type="list" allowBlank="1" showInputMessage="1" showErrorMessage="1" xr:uid="{98DFD7F7-20AF-4AD1-B61B-9E539BA9C6C4}">
          <x14:formula1>
            <xm:f>'Tuition &amp; Fees'!$B$25:$B$42</xm:f>
          </x14:formula1>
          <xm:sqref>J60:L60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777F8-6BF4-44D8-8C35-73F01FCA6FD4}">
  <sheetPr codeName="Sheet7"/>
  <dimension ref="A1:R141"/>
  <sheetViews>
    <sheetView showGridLines="0" zoomScaleNormal="100" workbookViewId="0">
      <selection activeCell="C3" sqref="C3"/>
    </sheetView>
  </sheetViews>
  <sheetFormatPr defaultColWidth="0" defaultRowHeight="0" customHeight="1" zeroHeight="1"/>
  <cols>
    <col min="1" max="1" width="2.140625" style="195" customWidth="1"/>
    <col min="2" max="2" width="16.140625" style="194" customWidth="1"/>
    <col min="3" max="4" width="16.140625" style="195" customWidth="1"/>
    <col min="5" max="5" width="49.42578125" style="195" customWidth="1"/>
    <col min="6" max="6" width="16.140625" style="195" customWidth="1"/>
    <col min="7" max="7" width="14.5703125" style="195" customWidth="1"/>
    <col min="8" max="8" width="16" style="195" customWidth="1"/>
    <col min="9" max="9" width="15.5703125" style="195" customWidth="1"/>
    <col min="10" max="12" width="16.42578125" style="195" customWidth="1"/>
    <col min="13" max="13" width="15" style="195" customWidth="1"/>
    <col min="14" max="14" width="9.140625" style="195" customWidth="1"/>
    <col min="15" max="18" width="0" style="195" hidden="1" customWidth="1"/>
    <col min="19" max="16384" width="9.140625" style="195" hidden="1"/>
  </cols>
  <sheetData>
    <row r="1" spans="2:18" ht="7.5" customHeight="1" thickBot="1"/>
    <row r="2" spans="2:18" s="196" customFormat="1" ht="14.25" customHeight="1">
      <c r="B2" s="367" t="s">
        <v>244</v>
      </c>
      <c r="C2" s="363" t="str">
        <f>IF(ISBLANK('Budget Summary'!D5),"-",'Budget Summary'!D5)</f>
        <v/>
      </c>
      <c r="D2" s="1184" t="s">
        <v>123</v>
      </c>
      <c r="E2" s="1172"/>
      <c r="F2" s="1169" t="s">
        <v>124</v>
      </c>
      <c r="G2" s="1171" t="str">
        <f>T('Bdgt Yr 1'!I2)</f>
        <v/>
      </c>
      <c r="H2" s="1172"/>
      <c r="I2" s="1175" t="s">
        <v>125</v>
      </c>
      <c r="J2" s="1162" t="str">
        <f>T('Bdgt Yr 1'!M2)</f>
        <v/>
      </c>
      <c r="K2" s="1162"/>
      <c r="L2" s="1162"/>
      <c r="M2" s="1163"/>
    </row>
    <row r="3" spans="2:18" s="196" customFormat="1" ht="14.25" customHeight="1">
      <c r="B3" s="368" t="s">
        <v>245</v>
      </c>
      <c r="C3" s="647" t="str">
        <f>IF(ISBLANK('Budget Summary'!D6),"-",'Budget Summary'!D6)</f>
        <v/>
      </c>
      <c r="D3" s="1185"/>
      <c r="E3" s="1174"/>
      <c r="F3" s="1170"/>
      <c r="G3" s="1173"/>
      <c r="H3" s="1174"/>
      <c r="I3" s="1176"/>
      <c r="J3" s="1164"/>
      <c r="K3" s="1164"/>
      <c r="L3" s="1164"/>
      <c r="M3" s="1165"/>
    </row>
    <row r="4" spans="2:18" ht="15" customHeight="1" thickBot="1">
      <c r="B4" s="364" t="s">
        <v>127</v>
      </c>
      <c r="C4" s="1166" t="str">
        <f>T('Bdgt Yr 1'!C4)</f>
        <v/>
      </c>
      <c r="D4" s="1167"/>
      <c r="E4" s="1167"/>
      <c r="F4" s="1167"/>
      <c r="G4" s="1168"/>
      <c r="H4" s="369" t="s">
        <v>246</v>
      </c>
      <c r="I4" s="1177" t="s">
        <v>247</v>
      </c>
      <c r="J4" s="1178"/>
      <c r="K4" s="1178"/>
      <c r="L4" s="1178"/>
      <c r="M4" s="1179"/>
    </row>
    <row r="5" spans="2:18" ht="14.25">
      <c r="B5" s="365"/>
      <c r="C5" s="366"/>
      <c r="D5" s="366"/>
      <c r="E5" s="366"/>
      <c r="F5" s="366"/>
      <c r="G5" s="366"/>
      <c r="H5" s="370"/>
      <c r="I5" s="371"/>
      <c r="J5" s="371"/>
      <c r="K5" s="371"/>
      <c r="L5" s="371"/>
      <c r="M5" s="371"/>
    </row>
    <row r="6" spans="2:18" s="196" customFormat="1" ht="15" customHeight="1" thickBot="1">
      <c r="B6" s="1180" t="s">
        <v>130</v>
      </c>
      <c r="C6" s="1180"/>
      <c r="D6" s="1180"/>
      <c r="E6" s="1180"/>
      <c r="F6" s="1180"/>
      <c r="G6" s="1180"/>
      <c r="H6" s="1180"/>
      <c r="I6" s="1180"/>
      <c r="J6" s="1180"/>
      <c r="K6" s="1180"/>
      <c r="L6" s="1180"/>
      <c r="M6" s="1180"/>
      <c r="N6" s="195"/>
      <c r="O6" s="195"/>
      <c r="P6" s="195"/>
      <c r="Q6" s="195"/>
      <c r="R6" s="195"/>
    </row>
    <row r="7" spans="2:18" ht="7.5" customHeight="1" thickBot="1">
      <c r="B7" s="1148"/>
      <c r="C7" s="1148"/>
      <c r="D7" s="1148"/>
      <c r="E7" s="1148"/>
      <c r="F7" s="1148"/>
      <c r="G7" s="1148"/>
      <c r="H7" s="1148"/>
      <c r="I7" s="1148"/>
      <c r="J7" s="1148"/>
    </row>
    <row r="8" spans="2:18" ht="15.75" customHeight="1">
      <c r="B8" s="1559" t="s">
        <v>131</v>
      </c>
      <c r="C8" s="1560"/>
      <c r="D8" s="1560"/>
      <c r="E8" s="1560"/>
      <c r="F8" s="1560"/>
      <c r="G8" s="1560"/>
      <c r="H8" s="1560"/>
      <c r="I8" s="1560"/>
      <c r="J8" s="1560"/>
      <c r="K8" s="1181" t="s">
        <v>134</v>
      </c>
      <c r="L8" s="1182"/>
      <c r="M8" s="1183"/>
      <c r="N8" s="196"/>
    </row>
    <row r="9" spans="2:18" ht="28.5" customHeight="1">
      <c r="B9" s="508" t="s">
        <v>248</v>
      </c>
      <c r="C9" s="197" t="s">
        <v>228</v>
      </c>
      <c r="D9" s="646" t="s">
        <v>249</v>
      </c>
      <c r="E9" s="198" t="s">
        <v>159</v>
      </c>
      <c r="F9" s="227" t="s">
        <v>140</v>
      </c>
      <c r="G9" s="227" t="s">
        <v>142</v>
      </c>
      <c r="H9" s="227" t="s">
        <v>144</v>
      </c>
      <c r="I9" s="227" t="s">
        <v>145</v>
      </c>
      <c r="J9" s="228" t="s">
        <v>146</v>
      </c>
      <c r="K9" s="372" t="s">
        <v>147</v>
      </c>
      <c r="L9" s="237" t="s">
        <v>148</v>
      </c>
      <c r="M9" s="373" t="s">
        <v>149</v>
      </c>
    </row>
    <row r="10" spans="2:18" ht="14.25">
      <c r="B10" s="260" t="str">
        <f>IF(ISBLANK('Bdgt Yr 1'!B12),"",'Bdgt Yr 1'!B12)</f>
        <v/>
      </c>
      <c r="C10" s="199" t="str">
        <f>IF(ISBLANK('Bdgt Yr 1'!C12),"",'Bdgt Yr 1'!C12)</f>
        <v/>
      </c>
      <c r="D10" s="694" t="str">
        <f>IF(ISBLANK('Bdgt Yr 1'!D12),"",'Bdgt Yr 1'!D12)</f>
        <v/>
      </c>
      <c r="E10" s="200" t="str">
        <f>T('Bdgt Yr 1'!E12)</f>
        <v/>
      </c>
      <c r="F10" s="29">
        <f>'Bdgt Yr 1'!F12+'Bdgt Yr 2'!F12+'Bdgt Yr 3'!F12+'Bdgt Yr 4'!F12+'Bdgt Yr 5'!F12</f>
        <v>0</v>
      </c>
      <c r="G10" s="29">
        <f>'Bdgt Yr 1'!I12+'Bdgt Yr 2'!I12+'Bdgt Yr 3'!I12+'Bdgt Yr 4'!I12+'Bdgt Yr 5'!I12</f>
        <v>0</v>
      </c>
      <c r="H10" s="24">
        <f>'Bdgt Yr 1'!K12+'Bdgt Yr 2'!K12+'Bdgt Yr 3'!K12+'Bdgt Yr 4'!K12+'Bdgt Yr 5'!K12</f>
        <v>0</v>
      </c>
      <c r="I10" s="24">
        <f>'Bdgt Yr 1'!L12+'Bdgt Yr 2'!L12+'Bdgt Yr 3'!L12+'Bdgt Yr 4'!L12+'Bdgt Yr 5'!L12</f>
        <v>0</v>
      </c>
      <c r="J10" s="62">
        <f>'Bdgt Yr 1'!M12+'Bdgt Yr 2'!M12+'Bdgt Yr 3'!M12+'Bdgt Yr 4'!M12+'Bdgt Yr 5'!M12</f>
        <v>0</v>
      </c>
      <c r="K10" s="374">
        <f>'Bdgt Yr 1'!N12+'Bdgt Yr 2'!N12+'Bdgt Yr 3'!N12+'Bdgt Yr 4'!N12+'Bdgt Yr 5'!N12</f>
        <v>0</v>
      </c>
      <c r="L10" s="375">
        <f>'Bdgt Yr 1'!O12+'Bdgt Yr 2'!O12+'Bdgt Yr 3'!O12+'Bdgt Yr 4'!O12+'Bdgt Yr 5'!O12</f>
        <v>0</v>
      </c>
      <c r="M10" s="376">
        <f>'Bdgt Yr 1'!P12+'Bdgt Yr 2'!P12+'Bdgt Yr 3'!P12+'Bdgt Yr 4'!P12+'Bdgt Yr 5'!P12</f>
        <v>0</v>
      </c>
      <c r="P10" s="377"/>
      <c r="Q10" s="377"/>
    </row>
    <row r="11" spans="2:18" ht="14.25">
      <c r="B11" s="260" t="str">
        <f>IF(ISBLANK('Bdgt Yr 1'!B13),"",'Bdgt Yr 1'!B13)</f>
        <v/>
      </c>
      <c r="C11" s="199" t="str">
        <f>IF(ISBLANK('Bdgt Yr 1'!C13),"",'Bdgt Yr 1'!C13)</f>
        <v/>
      </c>
      <c r="D11" s="694" t="str">
        <f>IF(ISBLANK('Bdgt Yr 1'!D13),"",'Bdgt Yr 1'!D13)</f>
        <v/>
      </c>
      <c r="E11" s="200" t="str">
        <f>T('Bdgt Yr 1'!E13)</f>
        <v/>
      </c>
      <c r="F11" s="29">
        <f>'Bdgt Yr 1'!F13+'Bdgt Yr 2'!F13+'Bdgt Yr 3'!F13+'Bdgt Yr 4'!F13+'Bdgt Yr 5'!F13</f>
        <v>0</v>
      </c>
      <c r="G11" s="29">
        <f>'Bdgt Yr 1'!I13+'Bdgt Yr 2'!I13+'Bdgt Yr 3'!I13+'Bdgt Yr 4'!I13+'Bdgt Yr 5'!I13</f>
        <v>0</v>
      </c>
      <c r="H11" s="24">
        <f>'Bdgt Yr 1'!K13+'Bdgt Yr 2'!K13+'Bdgt Yr 3'!K13+'Bdgt Yr 4'!K13+'Bdgt Yr 5'!K13</f>
        <v>0</v>
      </c>
      <c r="I11" s="24">
        <f>'Bdgt Yr 1'!L13+'Bdgt Yr 2'!L13+'Bdgt Yr 3'!L13+'Bdgt Yr 4'!L13+'Bdgt Yr 5'!L13</f>
        <v>0</v>
      </c>
      <c r="J11" s="62">
        <f>'Bdgt Yr 1'!M13+'Bdgt Yr 2'!M13+'Bdgt Yr 3'!M13+'Bdgt Yr 4'!M13+'Bdgt Yr 5'!M13</f>
        <v>0</v>
      </c>
      <c r="K11" s="374">
        <f>'Bdgt Yr 1'!N13+'Bdgt Yr 2'!N13+'Bdgt Yr 3'!N13+'Bdgt Yr 4'!N13+'Bdgt Yr 5'!N13</f>
        <v>0</v>
      </c>
      <c r="L11" s="375">
        <f>'Bdgt Yr 1'!O13+'Bdgt Yr 2'!O13+'Bdgt Yr 3'!O13+'Bdgt Yr 4'!O13+'Bdgt Yr 5'!O13</f>
        <v>0</v>
      </c>
      <c r="M11" s="376">
        <f>'Bdgt Yr 1'!P13+'Bdgt Yr 2'!P13+'Bdgt Yr 3'!P13+'Bdgt Yr 4'!P13+'Bdgt Yr 5'!P13</f>
        <v>0</v>
      </c>
    </row>
    <row r="12" spans="2:18" ht="14.25">
      <c r="B12" s="260" t="str">
        <f>IF(ISBLANK('Bdgt Yr 1'!B14),"",'Bdgt Yr 1'!B14)</f>
        <v/>
      </c>
      <c r="C12" s="199" t="str">
        <f>IF(ISBLANK('Bdgt Yr 1'!C14),"",'Bdgt Yr 1'!C14)</f>
        <v/>
      </c>
      <c r="D12" s="694" t="str">
        <f>IF(ISBLANK('Bdgt Yr 1'!D14),"",'Bdgt Yr 1'!D14)</f>
        <v/>
      </c>
      <c r="E12" s="200" t="str">
        <f>T('Bdgt Yr 1'!E14)</f>
        <v/>
      </c>
      <c r="F12" s="29">
        <f>'Bdgt Yr 1'!F14+'Bdgt Yr 2'!F14+'Bdgt Yr 3'!F14+'Bdgt Yr 4'!F14+'Bdgt Yr 5'!F14</f>
        <v>0</v>
      </c>
      <c r="G12" s="29">
        <f>'Bdgt Yr 1'!I14+'Bdgt Yr 2'!I14+'Bdgt Yr 3'!I14+'Bdgt Yr 4'!I14+'Bdgt Yr 5'!I14</f>
        <v>0</v>
      </c>
      <c r="H12" s="24">
        <f>'Bdgt Yr 1'!K14+'Bdgt Yr 2'!K14+'Bdgt Yr 3'!K14+'Bdgt Yr 4'!K14+'Bdgt Yr 5'!K14</f>
        <v>0</v>
      </c>
      <c r="I12" s="24">
        <f>'Bdgt Yr 1'!L14+'Bdgt Yr 2'!L14+'Bdgt Yr 3'!L14+'Bdgt Yr 4'!L14+'Bdgt Yr 5'!L14</f>
        <v>0</v>
      </c>
      <c r="J12" s="62">
        <f>'Bdgt Yr 1'!M14+'Bdgt Yr 2'!M14+'Bdgt Yr 3'!M14+'Bdgt Yr 4'!M14+'Bdgt Yr 5'!M14</f>
        <v>0</v>
      </c>
      <c r="K12" s="374">
        <f>'Bdgt Yr 1'!N14+'Bdgt Yr 2'!N14+'Bdgt Yr 3'!N14+'Bdgt Yr 4'!N14+'Bdgt Yr 5'!N14</f>
        <v>0</v>
      </c>
      <c r="L12" s="375">
        <f>'Bdgt Yr 1'!O14+'Bdgt Yr 2'!O14+'Bdgt Yr 3'!O14+'Bdgt Yr 4'!O14+'Bdgt Yr 5'!O14</f>
        <v>0</v>
      </c>
      <c r="M12" s="376">
        <f>'Bdgt Yr 1'!P14+'Bdgt Yr 2'!P14+'Bdgt Yr 3'!P14+'Bdgt Yr 4'!P14+'Bdgt Yr 5'!P14</f>
        <v>0</v>
      </c>
    </row>
    <row r="13" spans="2:18" ht="14.25">
      <c r="B13" s="260" t="str">
        <f>IF(ISBLANK('Bdgt Yr 1'!B15),"",'Bdgt Yr 1'!B15)</f>
        <v/>
      </c>
      <c r="C13" s="199" t="str">
        <f>IF(ISBLANK('Bdgt Yr 1'!C15),"",'Bdgt Yr 1'!C15)</f>
        <v/>
      </c>
      <c r="D13" s="694" t="str">
        <f>IF(ISBLANK('Bdgt Yr 1'!D15),"",'Bdgt Yr 1'!D15)</f>
        <v/>
      </c>
      <c r="E13" s="200" t="str">
        <f>T('Bdgt Yr 1'!E15)</f>
        <v/>
      </c>
      <c r="F13" s="29">
        <f>'Bdgt Yr 1'!F15+'Bdgt Yr 2'!F15+'Bdgt Yr 3'!F15+'Bdgt Yr 4'!F15+'Bdgt Yr 5'!F15</f>
        <v>0</v>
      </c>
      <c r="G13" s="29">
        <f>'Bdgt Yr 1'!I15+'Bdgt Yr 2'!I15+'Bdgt Yr 3'!I15+'Bdgt Yr 4'!I15+'Bdgt Yr 5'!I15</f>
        <v>0</v>
      </c>
      <c r="H13" s="24">
        <f>'Bdgt Yr 1'!K15+'Bdgt Yr 2'!K15+'Bdgt Yr 3'!K15+'Bdgt Yr 4'!K15+'Bdgt Yr 5'!K15</f>
        <v>0</v>
      </c>
      <c r="I13" s="24">
        <f>'Bdgt Yr 1'!L15+'Bdgt Yr 2'!L15+'Bdgt Yr 3'!L15+'Bdgt Yr 4'!L15+'Bdgt Yr 5'!L15</f>
        <v>0</v>
      </c>
      <c r="J13" s="62">
        <f>'Bdgt Yr 1'!M15+'Bdgt Yr 2'!M15+'Bdgt Yr 3'!M15+'Bdgt Yr 4'!M15+'Bdgt Yr 5'!M15</f>
        <v>0</v>
      </c>
      <c r="K13" s="374">
        <f>'Bdgt Yr 1'!N15+'Bdgt Yr 2'!N15+'Bdgt Yr 3'!N15+'Bdgt Yr 4'!N15+'Bdgt Yr 5'!N15</f>
        <v>0</v>
      </c>
      <c r="L13" s="375">
        <f>'Bdgt Yr 1'!O15+'Bdgt Yr 2'!O15+'Bdgt Yr 3'!O15+'Bdgt Yr 4'!O15+'Bdgt Yr 5'!O15</f>
        <v>0</v>
      </c>
      <c r="M13" s="376">
        <f>'Bdgt Yr 1'!P15+'Bdgt Yr 2'!P15+'Bdgt Yr 3'!P15+'Bdgt Yr 4'!P15+'Bdgt Yr 5'!P15</f>
        <v>0</v>
      </c>
    </row>
    <row r="14" spans="2:18" ht="14.25">
      <c r="B14" s="260" t="str">
        <f>IF(ISBLANK('Bdgt Yr 1'!B16),"",'Bdgt Yr 1'!B16)</f>
        <v/>
      </c>
      <c r="C14" s="199" t="str">
        <f>IF(ISBLANK('Bdgt Yr 1'!C16),"",'Bdgt Yr 1'!C16)</f>
        <v/>
      </c>
      <c r="D14" s="694" t="str">
        <f>IF(ISBLANK('Bdgt Yr 1'!D16),"",'Bdgt Yr 1'!D16)</f>
        <v/>
      </c>
      <c r="E14" s="200" t="str">
        <f>T('Bdgt Yr 1'!E16)</f>
        <v/>
      </c>
      <c r="F14" s="29">
        <f>'Bdgt Yr 1'!F16+'Bdgt Yr 2'!F16+'Bdgt Yr 3'!F16+'Bdgt Yr 4'!F16+'Bdgt Yr 5'!F16</f>
        <v>0</v>
      </c>
      <c r="G14" s="29">
        <f>'Bdgt Yr 1'!I16+'Bdgt Yr 2'!I16+'Bdgt Yr 3'!I16+'Bdgt Yr 4'!I16+'Bdgt Yr 5'!I16</f>
        <v>0</v>
      </c>
      <c r="H14" s="24">
        <f>'Bdgt Yr 1'!K16+'Bdgt Yr 2'!K16+'Bdgt Yr 3'!K16+'Bdgt Yr 4'!K16+'Bdgt Yr 5'!K16</f>
        <v>0</v>
      </c>
      <c r="I14" s="24">
        <f>'Bdgt Yr 1'!L16+'Bdgt Yr 2'!L16+'Bdgt Yr 3'!L16+'Bdgt Yr 4'!L16+'Bdgt Yr 5'!L16</f>
        <v>0</v>
      </c>
      <c r="J14" s="62">
        <f>'Bdgt Yr 1'!M16+'Bdgt Yr 2'!M16+'Bdgt Yr 3'!M16+'Bdgt Yr 4'!M16+'Bdgt Yr 5'!M16</f>
        <v>0</v>
      </c>
      <c r="K14" s="374">
        <f>'Bdgt Yr 1'!N16+'Bdgt Yr 2'!N16+'Bdgt Yr 3'!N16+'Bdgt Yr 4'!N16+'Bdgt Yr 5'!N16</f>
        <v>0</v>
      </c>
      <c r="L14" s="375">
        <f>'Bdgt Yr 1'!O16+'Bdgt Yr 2'!O16+'Bdgt Yr 3'!O16+'Bdgt Yr 4'!O16+'Bdgt Yr 5'!O16</f>
        <v>0</v>
      </c>
      <c r="M14" s="376">
        <f>'Bdgt Yr 1'!P16+'Bdgt Yr 2'!P16+'Bdgt Yr 3'!P16+'Bdgt Yr 4'!P16+'Bdgt Yr 5'!P16</f>
        <v>0</v>
      </c>
    </row>
    <row r="15" spans="2:18" ht="14.25">
      <c r="B15" s="260" t="str">
        <f>IF(ISBLANK('Bdgt Yr 1'!B17),"",'Bdgt Yr 1'!B17)</f>
        <v/>
      </c>
      <c r="C15" s="199" t="str">
        <f>IF(ISBLANK('Bdgt Yr 1'!C17),"",'Bdgt Yr 1'!C17)</f>
        <v/>
      </c>
      <c r="D15" s="694" t="str">
        <f>IF(ISBLANK('Bdgt Yr 1'!D17),"",'Bdgt Yr 1'!D17)</f>
        <v/>
      </c>
      <c r="E15" s="200" t="str">
        <f>T('Bdgt Yr 1'!E17)</f>
        <v/>
      </c>
      <c r="F15" s="29">
        <f>'Bdgt Yr 1'!F17+'Bdgt Yr 2'!F17+'Bdgt Yr 3'!F17+'Bdgt Yr 4'!F17+'Bdgt Yr 5'!F17</f>
        <v>0</v>
      </c>
      <c r="G15" s="29">
        <f>'Bdgt Yr 1'!I17+'Bdgt Yr 2'!I17+'Bdgt Yr 3'!I17+'Bdgt Yr 4'!I17+'Bdgt Yr 5'!I17</f>
        <v>0</v>
      </c>
      <c r="H15" s="24">
        <f>'Bdgt Yr 1'!K17+'Bdgt Yr 2'!K17+'Bdgt Yr 3'!K17+'Bdgt Yr 4'!K17+'Bdgt Yr 5'!K17</f>
        <v>0</v>
      </c>
      <c r="I15" s="24">
        <f>'Bdgt Yr 1'!L17+'Bdgt Yr 2'!L17+'Bdgt Yr 3'!L17+'Bdgt Yr 4'!L17+'Bdgt Yr 5'!L17</f>
        <v>0</v>
      </c>
      <c r="J15" s="62">
        <f>'Bdgt Yr 1'!M17+'Bdgt Yr 2'!M17+'Bdgt Yr 3'!M17+'Bdgt Yr 4'!M17+'Bdgt Yr 5'!M17</f>
        <v>0</v>
      </c>
      <c r="K15" s="374">
        <f>'Bdgt Yr 1'!N17+'Bdgt Yr 2'!N17+'Bdgt Yr 3'!N17+'Bdgt Yr 4'!N17+'Bdgt Yr 5'!N17</f>
        <v>0</v>
      </c>
      <c r="L15" s="375">
        <f>'Bdgt Yr 1'!O17+'Bdgt Yr 2'!O17+'Bdgt Yr 3'!O17+'Bdgt Yr 4'!O17+'Bdgt Yr 5'!O17</f>
        <v>0</v>
      </c>
      <c r="M15" s="376">
        <f>'Bdgt Yr 1'!P17+'Bdgt Yr 2'!P17+'Bdgt Yr 3'!P17+'Bdgt Yr 4'!P17+'Bdgt Yr 5'!P17</f>
        <v>0</v>
      </c>
    </row>
    <row r="16" spans="2:18" ht="14.25">
      <c r="B16" s="260" t="str">
        <f>IF(ISBLANK('Bdgt Yr 1'!B18),"",'Bdgt Yr 1'!B18)</f>
        <v/>
      </c>
      <c r="C16" s="199" t="str">
        <f>IF(ISBLANK('Bdgt Yr 1'!C18),"",'Bdgt Yr 1'!C18)</f>
        <v/>
      </c>
      <c r="D16" s="694" t="str">
        <f>IF(ISBLANK('Bdgt Yr 1'!D18),"",'Bdgt Yr 1'!D18)</f>
        <v/>
      </c>
      <c r="E16" s="200" t="str">
        <f>T('Bdgt Yr 1'!E18)</f>
        <v/>
      </c>
      <c r="F16" s="29">
        <f>'Bdgt Yr 1'!F18+'Bdgt Yr 2'!F18+'Bdgt Yr 3'!F18+'Bdgt Yr 4'!F18+'Bdgt Yr 5'!F18</f>
        <v>0</v>
      </c>
      <c r="G16" s="29">
        <f>'Bdgt Yr 1'!I18+'Bdgt Yr 2'!I18+'Bdgt Yr 3'!I18+'Bdgt Yr 4'!I18+'Bdgt Yr 5'!I18</f>
        <v>0</v>
      </c>
      <c r="H16" s="24">
        <f>'Bdgt Yr 1'!K18+'Bdgt Yr 2'!K18+'Bdgt Yr 3'!K18+'Bdgt Yr 4'!K18+'Bdgt Yr 5'!K18</f>
        <v>0</v>
      </c>
      <c r="I16" s="24">
        <f>'Bdgt Yr 1'!L18+'Bdgt Yr 2'!L18+'Bdgt Yr 3'!L18+'Bdgt Yr 4'!L18+'Bdgt Yr 5'!L18</f>
        <v>0</v>
      </c>
      <c r="J16" s="62">
        <f>'Bdgt Yr 1'!M18+'Bdgt Yr 2'!M18+'Bdgt Yr 3'!M18+'Bdgt Yr 4'!M18+'Bdgt Yr 5'!M18</f>
        <v>0</v>
      </c>
      <c r="K16" s="374">
        <f>'Bdgt Yr 1'!N18+'Bdgt Yr 2'!N18+'Bdgt Yr 3'!N18+'Bdgt Yr 4'!N18+'Bdgt Yr 5'!N18</f>
        <v>0</v>
      </c>
      <c r="L16" s="375">
        <f>'Bdgt Yr 1'!O18+'Bdgt Yr 2'!O18+'Bdgt Yr 3'!O18+'Bdgt Yr 4'!O18+'Bdgt Yr 5'!O18</f>
        <v>0</v>
      </c>
      <c r="M16" s="376">
        <f>'Bdgt Yr 1'!P18+'Bdgt Yr 2'!P18+'Bdgt Yr 3'!P18+'Bdgt Yr 4'!P18+'Bdgt Yr 5'!P18</f>
        <v>0</v>
      </c>
    </row>
    <row r="17" spans="2:17" ht="14.25">
      <c r="B17" s="260" t="str">
        <f>IF(ISBLANK('Bdgt Yr 1'!B19),"",'Bdgt Yr 1'!B19)</f>
        <v/>
      </c>
      <c r="C17" s="199" t="str">
        <f>IF(ISBLANK('Bdgt Yr 1'!C19),"",'Bdgt Yr 1'!C19)</f>
        <v/>
      </c>
      <c r="D17" s="694" t="str">
        <f>IF(ISBLANK('Bdgt Yr 1'!D19),"",'Bdgt Yr 1'!D19)</f>
        <v/>
      </c>
      <c r="E17" s="200" t="str">
        <f>T('Bdgt Yr 1'!E19)</f>
        <v/>
      </c>
      <c r="F17" s="29">
        <f>'Bdgt Yr 1'!F19+'Bdgt Yr 2'!F19+'Bdgt Yr 3'!F19+'Bdgt Yr 4'!F19+'Bdgt Yr 5'!F19</f>
        <v>0</v>
      </c>
      <c r="G17" s="29">
        <f>'Bdgt Yr 1'!I19+'Bdgt Yr 2'!I19+'Bdgt Yr 3'!I19+'Bdgt Yr 4'!I19+'Bdgt Yr 5'!I19</f>
        <v>0</v>
      </c>
      <c r="H17" s="24">
        <f>'Bdgt Yr 1'!K19+'Bdgt Yr 2'!K19+'Bdgt Yr 3'!K19+'Bdgt Yr 4'!K19+'Bdgt Yr 5'!K19</f>
        <v>0</v>
      </c>
      <c r="I17" s="24">
        <f>'Bdgt Yr 1'!L19+'Bdgt Yr 2'!L19+'Bdgt Yr 3'!L19+'Bdgt Yr 4'!L19+'Bdgt Yr 5'!L19</f>
        <v>0</v>
      </c>
      <c r="J17" s="62">
        <f>'Bdgt Yr 1'!M19+'Bdgt Yr 2'!M19+'Bdgt Yr 3'!M19+'Bdgt Yr 4'!M19+'Bdgt Yr 5'!M19</f>
        <v>0</v>
      </c>
      <c r="K17" s="374">
        <f>'Bdgt Yr 1'!N19+'Bdgt Yr 2'!N19+'Bdgt Yr 3'!N19+'Bdgt Yr 4'!N19+'Bdgt Yr 5'!N19</f>
        <v>0</v>
      </c>
      <c r="L17" s="375">
        <f>'Bdgt Yr 1'!O19+'Bdgt Yr 2'!O19+'Bdgt Yr 3'!O19+'Bdgt Yr 4'!O19+'Bdgt Yr 5'!O19</f>
        <v>0</v>
      </c>
      <c r="M17" s="376">
        <f>'Bdgt Yr 1'!P19+'Bdgt Yr 2'!P19+'Bdgt Yr 3'!P19+'Bdgt Yr 4'!P19+'Bdgt Yr 5'!P19</f>
        <v>0</v>
      </c>
    </row>
    <row r="18" spans="2:17" ht="14.25">
      <c r="B18" s="260" t="str">
        <f>IF(ISBLANK('Bdgt Yr 1'!B20),"",'Bdgt Yr 1'!B20)</f>
        <v/>
      </c>
      <c r="C18" s="199" t="str">
        <f>IF(ISBLANK('Bdgt Yr 1'!C20),"",'Bdgt Yr 1'!C20)</f>
        <v/>
      </c>
      <c r="D18" s="694" t="str">
        <f>IF(ISBLANK('Bdgt Yr 1'!D20),"",'Bdgt Yr 1'!D20)</f>
        <v/>
      </c>
      <c r="E18" s="200" t="str">
        <f>T('Bdgt Yr 1'!E20)</f>
        <v/>
      </c>
      <c r="F18" s="29">
        <f>'Bdgt Yr 1'!F20+'Bdgt Yr 2'!F20+'Bdgt Yr 3'!F20+'Bdgt Yr 4'!F20+'Bdgt Yr 5'!F20</f>
        <v>0</v>
      </c>
      <c r="G18" s="29">
        <f>'Bdgt Yr 1'!I20+'Bdgt Yr 2'!I20+'Bdgt Yr 3'!I20+'Bdgt Yr 4'!I20+'Bdgt Yr 5'!I20</f>
        <v>0</v>
      </c>
      <c r="H18" s="24">
        <f>'Bdgt Yr 1'!K20+'Bdgt Yr 2'!K20+'Bdgt Yr 3'!K20+'Bdgt Yr 4'!K20+'Bdgt Yr 5'!K20</f>
        <v>0</v>
      </c>
      <c r="I18" s="24">
        <f>'Bdgt Yr 1'!L20+'Bdgt Yr 2'!L20+'Bdgt Yr 3'!L20+'Bdgt Yr 4'!L20+'Bdgt Yr 5'!L20</f>
        <v>0</v>
      </c>
      <c r="J18" s="62">
        <f>'Bdgt Yr 1'!M20+'Bdgt Yr 2'!M20+'Bdgt Yr 3'!M20+'Bdgt Yr 4'!M20+'Bdgt Yr 5'!M20</f>
        <v>0</v>
      </c>
      <c r="K18" s="374">
        <f>'Bdgt Yr 1'!N20+'Bdgt Yr 2'!N20+'Bdgt Yr 3'!N20+'Bdgt Yr 4'!N20+'Bdgt Yr 5'!N20</f>
        <v>0</v>
      </c>
      <c r="L18" s="375">
        <f>'Bdgt Yr 1'!O20+'Bdgt Yr 2'!O20+'Bdgt Yr 3'!O20+'Bdgt Yr 4'!O20+'Bdgt Yr 5'!O20</f>
        <v>0</v>
      </c>
      <c r="M18" s="376">
        <f>'Bdgt Yr 1'!P20+'Bdgt Yr 2'!P20+'Bdgt Yr 3'!P20+'Bdgt Yr 4'!P20+'Bdgt Yr 5'!P20</f>
        <v>0</v>
      </c>
    </row>
    <row r="19" spans="2:17" ht="14.25">
      <c r="B19" s="260" t="str">
        <f>IF(ISBLANK('Bdgt Yr 1'!B21),"",'Bdgt Yr 1'!B21)</f>
        <v/>
      </c>
      <c r="C19" s="199" t="str">
        <f>IF(ISBLANK('Bdgt Yr 1'!C21),"",'Bdgt Yr 1'!C21)</f>
        <v/>
      </c>
      <c r="D19" s="694" t="str">
        <f>IF(ISBLANK('Bdgt Yr 1'!D21),"",'Bdgt Yr 1'!D21)</f>
        <v/>
      </c>
      <c r="E19" s="200" t="str">
        <f>T('Bdgt Yr 1'!E21)</f>
        <v/>
      </c>
      <c r="F19" s="29">
        <f>'Bdgt Yr 1'!F21+'Bdgt Yr 2'!F21+'Bdgt Yr 3'!F21+'Bdgt Yr 4'!F21+'Bdgt Yr 5'!F21</f>
        <v>0</v>
      </c>
      <c r="G19" s="29">
        <f>'Bdgt Yr 1'!I21+'Bdgt Yr 2'!I21+'Bdgt Yr 3'!I21+'Bdgt Yr 4'!I21+'Bdgt Yr 5'!I21</f>
        <v>0</v>
      </c>
      <c r="H19" s="24">
        <f>'Bdgt Yr 1'!K21+'Bdgt Yr 2'!K21+'Bdgt Yr 3'!K21+'Bdgt Yr 4'!K21+'Bdgt Yr 5'!K21</f>
        <v>0</v>
      </c>
      <c r="I19" s="24">
        <f>'Bdgt Yr 1'!L21+'Bdgt Yr 2'!L21+'Bdgt Yr 3'!L21+'Bdgt Yr 4'!L21+'Bdgt Yr 5'!L21</f>
        <v>0</v>
      </c>
      <c r="J19" s="62">
        <f>'Bdgt Yr 1'!M21+'Bdgt Yr 2'!M21+'Bdgt Yr 3'!M21+'Bdgt Yr 4'!M21+'Bdgt Yr 5'!M21</f>
        <v>0</v>
      </c>
      <c r="K19" s="374">
        <f>'Bdgt Yr 1'!N21+'Bdgt Yr 2'!N21+'Bdgt Yr 3'!N21+'Bdgt Yr 4'!N21+'Bdgt Yr 5'!N21</f>
        <v>0</v>
      </c>
      <c r="L19" s="375">
        <f>'Bdgt Yr 1'!O21+'Bdgt Yr 2'!O21+'Bdgt Yr 3'!O21+'Bdgt Yr 4'!O21+'Bdgt Yr 5'!O21</f>
        <v>0</v>
      </c>
      <c r="M19" s="376">
        <f>'Bdgt Yr 1'!P21+'Bdgt Yr 2'!P21+'Bdgt Yr 3'!P21+'Bdgt Yr 4'!P21+'Bdgt Yr 5'!P21</f>
        <v>0</v>
      </c>
    </row>
    <row r="20" spans="2:17" ht="14.25">
      <c r="B20" s="260" t="str">
        <f>IF(ISBLANK('Bdgt Yr 1'!B22),"",'Bdgt Yr 1'!B22)</f>
        <v/>
      </c>
      <c r="C20" s="199" t="str">
        <f>IF(ISBLANK('Bdgt Yr 1'!C22),"",'Bdgt Yr 1'!C22)</f>
        <v/>
      </c>
      <c r="D20" s="694" t="str">
        <f>IF(ISBLANK('Bdgt Yr 1'!D22),"",'Bdgt Yr 1'!D22)</f>
        <v/>
      </c>
      <c r="E20" s="200" t="str">
        <f>T('Bdgt Yr 1'!E22)</f>
        <v xml:space="preserve"> </v>
      </c>
      <c r="F20" s="29">
        <f>'Bdgt Yr 1'!F22+'Bdgt Yr 2'!F22+'Bdgt Yr 3'!F22+'Bdgt Yr 4'!F22+'Bdgt Yr 5'!F22</f>
        <v>0</v>
      </c>
      <c r="G20" s="29">
        <f>'Bdgt Yr 1'!I22+'Bdgt Yr 2'!I22+'Bdgt Yr 3'!I22+'Bdgt Yr 4'!I22+'Bdgt Yr 5'!I22</f>
        <v>0</v>
      </c>
      <c r="H20" s="24">
        <f>'Bdgt Yr 1'!K22+'Bdgt Yr 2'!K22+'Bdgt Yr 3'!K22+'Bdgt Yr 4'!K22+'Bdgt Yr 5'!K22</f>
        <v>0</v>
      </c>
      <c r="I20" s="24">
        <f>'Bdgt Yr 1'!L22+'Bdgt Yr 2'!L22+'Bdgt Yr 3'!L22+'Bdgt Yr 4'!L22+'Bdgt Yr 5'!L22</f>
        <v>0</v>
      </c>
      <c r="J20" s="62">
        <f>'Bdgt Yr 1'!M22+'Bdgt Yr 2'!M22+'Bdgt Yr 3'!M22+'Bdgt Yr 4'!M22+'Bdgt Yr 5'!M22</f>
        <v>0</v>
      </c>
      <c r="K20" s="374">
        <f>'Bdgt Yr 1'!N22+'Bdgt Yr 2'!N22+'Bdgt Yr 3'!N22+'Bdgt Yr 4'!N22+'Bdgt Yr 5'!N22</f>
        <v>0</v>
      </c>
      <c r="L20" s="375">
        <f>'Bdgt Yr 1'!O22+'Bdgt Yr 2'!O22+'Bdgt Yr 3'!O22+'Bdgt Yr 4'!O22+'Bdgt Yr 5'!O22</f>
        <v>0</v>
      </c>
      <c r="M20" s="376">
        <f>'Bdgt Yr 1'!P22+'Bdgt Yr 2'!P22+'Bdgt Yr 3'!P22+'Bdgt Yr 4'!P22+'Bdgt Yr 5'!P22</f>
        <v>0</v>
      </c>
    </row>
    <row r="21" spans="2:17" ht="15" customHeight="1">
      <c r="B21" s="260" t="str">
        <f>IF(ISBLANK('Bdgt Yr 1'!B23),"",'Bdgt Yr 1'!B23)</f>
        <v/>
      </c>
      <c r="C21" s="199" t="str">
        <f>IF(ISBLANK('Bdgt Yr 1'!C23),"",'Bdgt Yr 1'!C23)</f>
        <v/>
      </c>
      <c r="D21" s="694" t="str">
        <f>IF(ISBLANK('Bdgt Yr 1'!D23),"",'Bdgt Yr 1'!D23)</f>
        <v/>
      </c>
      <c r="E21" s="204" t="str">
        <f>T('Bdgt Yr 1'!E23)</f>
        <v/>
      </c>
      <c r="F21" s="29">
        <f>'Bdgt Yr 1'!F23+'Bdgt Yr 2'!F23+'Bdgt Yr 3'!F23+'Bdgt Yr 4'!F23+'Bdgt Yr 5'!F23</f>
        <v>0</v>
      </c>
      <c r="G21" s="29">
        <f>'Bdgt Yr 1'!I23+'Bdgt Yr 2'!I23+'Bdgt Yr 3'!I23+'Bdgt Yr 4'!I23+'Bdgt Yr 5'!I23</f>
        <v>0</v>
      </c>
      <c r="H21" s="24">
        <f>'Bdgt Yr 1'!K23+'Bdgt Yr 2'!K23+'Bdgt Yr 3'!K23+'Bdgt Yr 4'!K23+'Bdgt Yr 5'!K23</f>
        <v>0</v>
      </c>
      <c r="I21" s="24">
        <f>'Bdgt Yr 1'!L23+'Bdgt Yr 2'!L23+'Bdgt Yr 3'!L23+'Bdgt Yr 4'!L23+'Bdgt Yr 5'!L23</f>
        <v>0</v>
      </c>
      <c r="J21" s="62">
        <f>'Bdgt Yr 1'!M23+'Bdgt Yr 2'!M23+'Bdgt Yr 3'!M23+'Bdgt Yr 4'!M23+'Bdgt Yr 5'!M23</f>
        <v>0</v>
      </c>
      <c r="K21" s="378">
        <f>'Bdgt Yr 1'!N23+'Bdgt Yr 2'!N23+'Bdgt Yr 3'!N23+'Bdgt Yr 4'!N23+'Bdgt Yr 5'!N23</f>
        <v>0</v>
      </c>
      <c r="L21" s="379">
        <f>'Bdgt Yr 1'!O23+'Bdgt Yr 2'!O23+'Bdgt Yr 3'!O23+'Bdgt Yr 4'!O23+'Bdgt Yr 5'!O23</f>
        <v>0</v>
      </c>
      <c r="M21" s="380">
        <f>'Bdgt Yr 1'!P23+'Bdgt Yr 2'!P23+'Bdgt Yr 3'!P23+'Bdgt Yr 4'!P23+'Bdgt Yr 5'!P23</f>
        <v>0</v>
      </c>
    </row>
    <row r="22" spans="2:17" ht="15" thickBot="1">
      <c r="B22" s="1146" t="s">
        <v>155</v>
      </c>
      <c r="C22" s="1147"/>
      <c r="D22" s="1147"/>
      <c r="E22" s="1147"/>
      <c r="F22" s="1147"/>
      <c r="G22" s="1147"/>
      <c r="H22" s="265">
        <f t="shared" ref="H22:M22" si="0">SUM(H10:H21)</f>
        <v>0</v>
      </c>
      <c r="I22" s="266">
        <f t="shared" si="0"/>
        <v>0</v>
      </c>
      <c r="J22" s="267">
        <f t="shared" si="0"/>
        <v>0</v>
      </c>
      <c r="K22" s="381">
        <f t="shared" si="0"/>
        <v>0</v>
      </c>
      <c r="L22" s="316">
        <f t="shared" si="0"/>
        <v>0</v>
      </c>
      <c r="M22" s="382">
        <f t="shared" si="0"/>
        <v>0</v>
      </c>
    </row>
    <row r="23" spans="2:17" ht="7.5" customHeight="1" thickBot="1">
      <c r="B23" s="1148"/>
      <c r="C23" s="1148"/>
      <c r="D23" s="1148"/>
      <c r="E23" s="1148"/>
      <c r="F23" s="1148"/>
      <c r="G23" s="1148"/>
      <c r="H23" s="1148"/>
      <c r="I23" s="1148"/>
      <c r="J23" s="1148"/>
    </row>
    <row r="24" spans="2:17" ht="14.25">
      <c r="B24" s="1559" t="s">
        <v>250</v>
      </c>
      <c r="C24" s="1560"/>
      <c r="D24" s="1560"/>
      <c r="E24" s="1560"/>
      <c r="F24" s="1560"/>
      <c r="G24" s="1560"/>
      <c r="H24" s="1560"/>
      <c r="I24" s="1560"/>
      <c r="J24" s="1560"/>
      <c r="K24" s="1181" t="s">
        <v>134</v>
      </c>
      <c r="L24" s="1182"/>
      <c r="M24" s="1183"/>
    </row>
    <row r="25" spans="2:17" ht="29.25" customHeight="1">
      <c r="B25" s="980" t="s">
        <v>158</v>
      </c>
      <c r="C25" s="981"/>
      <c r="D25" s="1561" t="s">
        <v>159</v>
      </c>
      <c r="E25" s="1562"/>
      <c r="F25" s="231" t="s">
        <v>140</v>
      </c>
      <c r="G25" s="231" t="s">
        <v>251</v>
      </c>
      <c r="H25" s="232" t="s">
        <v>161</v>
      </c>
      <c r="I25" s="232" t="s">
        <v>145</v>
      </c>
      <c r="J25" s="230" t="s">
        <v>146</v>
      </c>
      <c r="K25" s="372" t="s">
        <v>147</v>
      </c>
      <c r="L25" s="237" t="s">
        <v>148</v>
      </c>
      <c r="M25" s="373" t="s">
        <v>149</v>
      </c>
    </row>
    <row r="26" spans="2:17" ht="15" customHeight="1">
      <c r="B26" s="982" t="str">
        <f>'Bdgt Yr 1'!B30</f>
        <v>Non-Student Temp - 131010</v>
      </c>
      <c r="C26" s="983"/>
      <c r="D26" s="1144" t="str">
        <f>T('Bdgt Yr 1'!D30)</f>
        <v xml:space="preserve"> </v>
      </c>
      <c r="E26" s="1145"/>
      <c r="F26" s="29">
        <f>'Bdgt Yr 1'!H30+'Bdgt Yr 2'!H30+'Bdgt Yr 3'!H30+'Bdgt Yr 4'!H30+'Bdgt Yr 5'!H30</f>
        <v>0</v>
      </c>
      <c r="G26" s="383">
        <f>'Bdgt Yr 1'!I30+'Bdgt Yr 2'!I30+'Bdgt Yr 3'!I30+'Bdgt Yr 4'!I30+'Bdgt Yr 5'!I30</f>
        <v>0</v>
      </c>
      <c r="H26" s="24">
        <f>'Bdgt Yr 1'!K30+'Bdgt Yr 2'!K30+'Bdgt Yr 3'!K30+'Bdgt Yr 4'!K30+'Bdgt Yr 5'!K30</f>
        <v>0</v>
      </c>
      <c r="I26" s="24">
        <f>'Bdgt Yr 1'!L30+'Bdgt Yr 2'!L30+'Bdgt Yr 3'!L30+'Bdgt Yr 4'!L30+'Bdgt Yr 5'!L30</f>
        <v>0</v>
      </c>
      <c r="J26" s="62">
        <f>'Bdgt Yr 1'!M30+'Bdgt Yr 2'!M30+'Bdgt Yr 3'!M30+'Bdgt Yr 4'!M30+'Bdgt Yr 5'!M30</f>
        <v>0</v>
      </c>
      <c r="K26" s="374">
        <f>'Bdgt Yr 1'!N30+'Bdgt Yr 2'!N30+'Bdgt Yr 3'!N30+'Bdgt Yr 4'!N30+'Bdgt Yr 5'!N30</f>
        <v>0</v>
      </c>
      <c r="L26" s="375">
        <f>'Bdgt Yr 1'!O30+'Bdgt Yr 2'!O30+'Bdgt Yr 3'!O30+'Bdgt Yr 4'!O30+'Bdgt Yr 5'!O30</f>
        <v>0</v>
      </c>
      <c r="M26" s="376">
        <f>'Bdgt Yr 1'!P30+'Bdgt Yr 2'!P30+'Bdgt Yr 3'!P30+'Bdgt Yr 4'!P30+'Bdgt Yr 5'!P30</f>
        <v>0</v>
      </c>
      <c r="O26" s="377"/>
      <c r="P26" s="377"/>
      <c r="Q26" s="377"/>
    </row>
    <row r="27" spans="2:17" ht="15.75" customHeight="1">
      <c r="B27" s="982" t="str">
        <f>'Bdgt Yr 1'!B31</f>
        <v>Non-Student Temp - 131010</v>
      </c>
      <c r="C27" s="983"/>
      <c r="D27" s="1144" t="str">
        <f>T('Bdgt Yr 1'!D31)</f>
        <v xml:space="preserve"> </v>
      </c>
      <c r="E27" s="1145"/>
      <c r="F27" s="29">
        <f>'Bdgt Yr 1'!H31+'Bdgt Yr 2'!H31+'Bdgt Yr 3'!H31+'Bdgt Yr 4'!H31+'Bdgt Yr 5'!H31</f>
        <v>0</v>
      </c>
      <c r="G27" s="383">
        <f>'Bdgt Yr 1'!I31+'Bdgt Yr 2'!I31+'Bdgt Yr 3'!I31+'Bdgt Yr 4'!I31+'Bdgt Yr 5'!I31</f>
        <v>0</v>
      </c>
      <c r="H27" s="24">
        <f>'Bdgt Yr 1'!K31+'Bdgt Yr 2'!K31+'Bdgt Yr 3'!K31+'Bdgt Yr 4'!K31+'Bdgt Yr 5'!K31</f>
        <v>0</v>
      </c>
      <c r="I27" s="24">
        <f>'Bdgt Yr 1'!L31+'Bdgt Yr 2'!L31+'Bdgt Yr 3'!L31+'Bdgt Yr 4'!L31+'Bdgt Yr 5'!L31</f>
        <v>0</v>
      </c>
      <c r="J27" s="62">
        <f>'Bdgt Yr 1'!M31+'Bdgt Yr 2'!M31+'Bdgt Yr 3'!M31+'Bdgt Yr 4'!M31+'Bdgt Yr 5'!M31</f>
        <v>0</v>
      </c>
      <c r="K27" s="378">
        <f>'Bdgt Yr 1'!N31+'Bdgt Yr 2'!N31+'Bdgt Yr 3'!N31+'Bdgt Yr 4'!N31+'Bdgt Yr 5'!N31</f>
        <v>0</v>
      </c>
      <c r="L27" s="379">
        <f>'Bdgt Yr 1'!O31+'Bdgt Yr 2'!O31+'Bdgt Yr 3'!O31+'Bdgt Yr 4'!O31+'Bdgt Yr 5'!O31</f>
        <v>0</v>
      </c>
      <c r="M27" s="380">
        <f>'Bdgt Yr 1'!P31+'Bdgt Yr 2'!P31+'Bdgt Yr 3'!P31+'Bdgt Yr 4'!P31+'Bdgt Yr 5'!P31</f>
        <v>0</v>
      </c>
      <c r="O27" s="377"/>
      <c r="P27" s="377"/>
      <c r="Q27" s="377"/>
    </row>
    <row r="28" spans="2:17" ht="14.25">
      <c r="B28" s="1563" t="s">
        <v>252</v>
      </c>
      <c r="C28" s="1564"/>
      <c r="D28" s="1564"/>
      <c r="E28" s="1564"/>
      <c r="F28" s="1564"/>
      <c r="G28" s="1564"/>
      <c r="H28" s="1564"/>
      <c r="I28" s="1564"/>
      <c r="J28" s="1564"/>
      <c r="K28" s="1565"/>
      <c r="L28" s="1565"/>
      <c r="M28" s="1566"/>
    </row>
    <row r="29" spans="2:17" ht="29.25" customHeight="1">
      <c r="B29" s="980" t="s">
        <v>158</v>
      </c>
      <c r="C29" s="981"/>
      <c r="D29" s="1561" t="s">
        <v>159</v>
      </c>
      <c r="E29" s="1562"/>
      <c r="F29" s="335"/>
      <c r="G29" s="332"/>
      <c r="H29" s="232" t="s">
        <v>161</v>
      </c>
      <c r="I29" s="232" t="s">
        <v>145</v>
      </c>
      <c r="J29" s="230" t="s">
        <v>146</v>
      </c>
      <c r="K29" s="284" t="s">
        <v>147</v>
      </c>
      <c r="L29" s="285" t="s">
        <v>148</v>
      </c>
      <c r="M29" s="286" t="s">
        <v>149</v>
      </c>
    </row>
    <row r="30" spans="2:17" ht="15" customHeight="1">
      <c r="B30" s="982">
        <f>'Bdgt Yr 1'!B37</f>
        <v>131010</v>
      </c>
      <c r="C30" s="983"/>
      <c r="D30" s="1144" t="str">
        <f>T('Bdgt Yr 1'!D37)</f>
        <v xml:space="preserve"> </v>
      </c>
      <c r="E30" s="1145"/>
      <c r="F30" s="333"/>
      <c r="G30" s="332"/>
      <c r="H30" s="24">
        <f>'Bdgt Yr 1'!K37+'Bdgt Yr 2'!K37+'Bdgt Yr 3'!K37+'Bdgt Yr 4'!K37+'Bdgt Yr 5'!K37</f>
        <v>0</v>
      </c>
      <c r="I30" s="24">
        <f>'Bdgt Yr 1'!L37+'Bdgt Yr 2'!L37+'Bdgt Yr 3'!L37+'Bdgt Yr 4'!L37+'Bdgt Yr 5'!L37</f>
        <v>0</v>
      </c>
      <c r="J30" s="62">
        <f>'Bdgt Yr 1'!M37+'Bdgt Yr 2'!M37+'Bdgt Yr 3'!M37+'Bdgt Yr 4'!M37+'Bdgt Yr 5'!M37</f>
        <v>0</v>
      </c>
      <c r="K30" s="374">
        <f>'Bdgt Yr 1'!N37+'Bdgt Yr 2'!N38+'Bdgt Yr 3'!N37+'Bdgt Yr 4'!N37+'Bdgt Yr 5'!N37</f>
        <v>0</v>
      </c>
      <c r="L30" s="375">
        <f>'Bdgt Yr 1'!O37+'Bdgt Yr 2'!O38+'Bdgt Yr 3'!O37+'Bdgt Yr 4'!O37+'Bdgt Yr 5'!O37</f>
        <v>0</v>
      </c>
      <c r="M30" s="376">
        <f>'Bdgt Yr 1'!P37+'Bdgt Yr 2'!P38+'Bdgt Yr 3'!P37+'Bdgt Yr 4'!P37+'Bdgt Yr 5'!P37</f>
        <v>0</v>
      </c>
      <c r="O30" s="377"/>
      <c r="P30" s="377"/>
      <c r="Q30" s="377"/>
    </row>
    <row r="31" spans="2:17" ht="15" customHeight="1">
      <c r="B31" s="982">
        <f>'Bdgt Yr 1'!B38</f>
        <v>131010</v>
      </c>
      <c r="C31" s="983"/>
      <c r="D31" s="1144" t="str">
        <f>T('Bdgt Yr 1'!D38)</f>
        <v xml:space="preserve"> </v>
      </c>
      <c r="E31" s="1145"/>
      <c r="F31" s="334"/>
      <c r="G31" s="336"/>
      <c r="H31" s="24">
        <f>'Bdgt Yr 1'!K38+'Bdgt Yr 2'!K38+'Bdgt Yr 3'!K38+'Bdgt Yr 4'!K38+'Bdgt Yr 5'!K38</f>
        <v>0</v>
      </c>
      <c r="I31" s="24">
        <f>'Bdgt Yr 1'!L38+'Bdgt Yr 2'!L38+'Bdgt Yr 3'!L38+'Bdgt Yr 4'!L38+'Bdgt Yr 5'!L38</f>
        <v>0</v>
      </c>
      <c r="J31" s="62">
        <f>'Bdgt Yr 1'!M38+'Bdgt Yr 2'!M38+'Bdgt Yr 3'!M38+'Bdgt Yr 4'!M38+'Bdgt Yr 5'!M38</f>
        <v>0</v>
      </c>
      <c r="K31" s="374">
        <f>'Bdgt Yr 1'!N38+'Bdgt Yr 2'!N39+'Bdgt Yr 3'!N38+'Bdgt Yr 4'!N38+'Bdgt Yr 5'!N38</f>
        <v>0</v>
      </c>
      <c r="L31" s="375">
        <f>'Bdgt Yr 1'!O38+'Bdgt Yr 2'!O39+'Bdgt Yr 3'!O38+'Bdgt Yr 4'!O38+'Bdgt Yr 5'!O38</f>
        <v>0</v>
      </c>
      <c r="M31" s="376">
        <f>'Bdgt Yr 1'!P38+'Bdgt Yr 2'!P39+'Bdgt Yr 3'!P38+'Bdgt Yr 4'!P38+'Bdgt Yr 5'!P38</f>
        <v>0</v>
      </c>
      <c r="O31" s="377"/>
      <c r="P31" s="377"/>
      <c r="Q31" s="377"/>
    </row>
    <row r="32" spans="2:17" ht="14.25">
      <c r="B32" s="1146" t="s">
        <v>167</v>
      </c>
      <c r="C32" s="1147"/>
      <c r="D32" s="1147"/>
      <c r="E32" s="1147"/>
      <c r="F32" s="1147"/>
      <c r="G32" s="1147"/>
      <c r="H32" s="265">
        <f>SUM(H26:H31)</f>
        <v>0</v>
      </c>
      <c r="I32" s="266">
        <f>SUM(I26:I31)</f>
        <v>0</v>
      </c>
      <c r="J32" s="268">
        <f>SUM(J26:J31)</f>
        <v>0</v>
      </c>
      <c r="K32" s="287">
        <f t="shared" ref="K32:L32" si="1">SUM(K26:K31)</f>
        <v>0</v>
      </c>
      <c r="L32" s="280">
        <f t="shared" si="1"/>
        <v>0</v>
      </c>
      <c r="M32" s="281">
        <f>SUM(M26:M31)</f>
        <v>0</v>
      </c>
    </row>
    <row r="33" spans="2:17" ht="7.5" customHeight="1" thickBot="1">
      <c r="B33" s="1148"/>
      <c r="C33" s="1148"/>
      <c r="D33" s="1148"/>
      <c r="E33" s="1148"/>
      <c r="F33" s="1148"/>
      <c r="G33" s="1148"/>
      <c r="H33" s="1148"/>
      <c r="I33" s="1148"/>
      <c r="J33" s="1148"/>
    </row>
    <row r="34" spans="2:17" ht="14.25">
      <c r="B34" s="1149" t="s">
        <v>253</v>
      </c>
      <c r="C34" s="1150"/>
      <c r="D34" s="1150"/>
      <c r="E34" s="1150"/>
      <c r="F34" s="1150"/>
      <c r="G34" s="1150"/>
      <c r="H34" s="1150"/>
      <c r="I34" s="1150"/>
      <c r="J34" s="1150"/>
      <c r="K34" s="1195" t="s">
        <v>134</v>
      </c>
      <c r="L34" s="1196"/>
      <c r="M34" s="1197"/>
    </row>
    <row r="35" spans="2:17" ht="29.25" customHeight="1">
      <c r="B35" s="980" t="s">
        <v>158</v>
      </c>
      <c r="C35" s="981"/>
      <c r="D35" s="1567" t="s">
        <v>159</v>
      </c>
      <c r="E35" s="1568"/>
      <c r="F35" s="384" t="s">
        <v>254</v>
      </c>
      <c r="G35" s="384" t="s">
        <v>171</v>
      </c>
      <c r="H35" s="233" t="s">
        <v>144</v>
      </c>
      <c r="I35" s="233" t="s">
        <v>145</v>
      </c>
      <c r="J35" s="234" t="s">
        <v>146</v>
      </c>
      <c r="K35" s="262" t="s">
        <v>147</v>
      </c>
      <c r="L35" s="237" t="s">
        <v>148</v>
      </c>
      <c r="M35" s="269" t="s">
        <v>149</v>
      </c>
    </row>
    <row r="36" spans="2:17" ht="15" customHeight="1">
      <c r="B36" s="982">
        <v>135050</v>
      </c>
      <c r="C36" s="983"/>
      <c r="D36" s="1569" t="s">
        <v>172</v>
      </c>
      <c r="E36" s="1570"/>
      <c r="F36" s="660">
        <f>'Bdgt Yr 1'!H45+'Bdgt Yr 2'!H45+'Bdgt Yr 3'!H45+'Bdgt Yr 4'!H45+'Bdgt Yr 5'!H45</f>
        <v>0</v>
      </c>
      <c r="G36" s="660">
        <f>'Bdgt Yr 1'!I45+'Bdgt Yr 2'!I45+'Bdgt Yr 3'!I45+'Bdgt Yr 4'!I45+'Bdgt Yr 5'!I45</f>
        <v>0</v>
      </c>
      <c r="H36" s="24">
        <f>'Bdgt Yr 1'!K45+'Bdgt Yr 2'!K45+'Bdgt Yr 3'!K45+'Bdgt Yr 4'!K45+'Bdgt Yr 5'!K45</f>
        <v>0</v>
      </c>
      <c r="I36" s="24">
        <f>'Bdgt Yr 1'!L45+'Bdgt Yr 2'!L45+'Bdgt Yr 3'!L45+'Bdgt Yr 4'!L45+'Bdgt Yr 5'!L45</f>
        <v>0</v>
      </c>
      <c r="J36" s="62">
        <f>'Bdgt Yr 1'!M45+'Bdgt Yr 2'!M45+'Bdgt Yr 3'!M45+'Bdgt Yr 4'!M45+'Bdgt Yr 5'!M45</f>
        <v>0</v>
      </c>
      <c r="K36" s="374">
        <f>'Bdgt Yr 1'!N45+'Bdgt Yr 2'!N45+'Bdgt Yr 3'!N45+'Bdgt Yr 4'!N45+'Bdgt Yr 5'!N45</f>
        <v>0</v>
      </c>
      <c r="L36" s="375">
        <f>'Bdgt Yr 1'!O45+'Bdgt Yr 2'!O45+'Bdgt Yr 3'!O45+'Bdgt Yr 4'!O45+'Bdgt Yr 5'!O45</f>
        <v>0</v>
      </c>
      <c r="M36" s="376">
        <f>'Bdgt Yr 1'!P45+'Bdgt Yr 2'!P45+'Bdgt Yr 3'!P45+'Bdgt Yr 4'!P45+'Bdgt Yr 5'!P45</f>
        <v>0</v>
      </c>
      <c r="O36" s="377"/>
      <c r="P36" s="377"/>
      <c r="Q36" s="377"/>
    </row>
    <row r="37" spans="2:17" ht="15" customHeight="1">
      <c r="B37" s="982">
        <v>135050</v>
      </c>
      <c r="C37" s="983"/>
      <c r="D37" s="1569" t="s">
        <v>172</v>
      </c>
      <c r="E37" s="1570"/>
      <c r="F37" s="660">
        <f>'Bdgt Yr 1'!H46+'Bdgt Yr 2'!H46+'Bdgt Yr 3'!H46+'Bdgt Yr 4'!H46+'Bdgt Yr 5'!H46</f>
        <v>0</v>
      </c>
      <c r="G37" s="660">
        <f>'Bdgt Yr 1'!I46+'Bdgt Yr 2'!I46+'Bdgt Yr 3'!I46+'Bdgt Yr 4'!I46+'Bdgt Yr 5'!I46</f>
        <v>0</v>
      </c>
      <c r="H37" s="24">
        <f>'Bdgt Yr 1'!K46+'Bdgt Yr 2'!K46+'Bdgt Yr 3'!K46+'Bdgt Yr 4'!K46+'Bdgt Yr 5'!K46</f>
        <v>0</v>
      </c>
      <c r="I37" s="24">
        <f>'Bdgt Yr 1'!L46+'Bdgt Yr 2'!L46+'Bdgt Yr 3'!L46+'Bdgt Yr 4'!L46+'Bdgt Yr 5'!L46</f>
        <v>0</v>
      </c>
      <c r="J37" s="62">
        <f>'Bdgt Yr 1'!M46+'Bdgt Yr 2'!M46+'Bdgt Yr 3'!M46+'Bdgt Yr 4'!M46+'Bdgt Yr 5'!M46</f>
        <v>0</v>
      </c>
      <c r="K37" s="374">
        <f>'Bdgt Yr 1'!N46+'Bdgt Yr 2'!N46+'Bdgt Yr 3'!N46+'Bdgt Yr 4'!N46+'Bdgt Yr 5'!N46</f>
        <v>0</v>
      </c>
      <c r="L37" s="375">
        <f>'Bdgt Yr 1'!O46+'Bdgt Yr 2'!O46+'Bdgt Yr 3'!O46+'Bdgt Yr 4'!O46+'Bdgt Yr 5'!O46</f>
        <v>0</v>
      </c>
      <c r="M37" s="376">
        <f>'Bdgt Yr 1'!P46+'Bdgt Yr 2'!P46+'Bdgt Yr 3'!P46+'Bdgt Yr 4'!P46+'Bdgt Yr 5'!P46</f>
        <v>0</v>
      </c>
      <c r="O37" s="377"/>
      <c r="P37" s="377"/>
      <c r="Q37" s="377"/>
    </row>
    <row r="38" spans="2:17" ht="15" customHeight="1">
      <c r="B38" s="982">
        <v>135050</v>
      </c>
      <c r="C38" s="983"/>
      <c r="D38" s="1569" t="s">
        <v>173</v>
      </c>
      <c r="E38" s="1570"/>
      <c r="F38" s="660">
        <f>'Bdgt Yr 1'!H47+'Bdgt Yr 2'!H47+'Bdgt Yr 3'!H47+'Bdgt Yr 4'!H47+'Bdgt Yr 5'!H47</f>
        <v>0</v>
      </c>
      <c r="G38" s="660">
        <f>'Bdgt Yr 1'!I47+'Bdgt Yr 2'!I47+'Bdgt Yr 3'!I47+'Bdgt Yr 4'!I47+'Bdgt Yr 5'!I47</f>
        <v>0</v>
      </c>
      <c r="H38" s="24">
        <f>'Bdgt Yr 1'!K47+'Bdgt Yr 2'!K47+'Bdgt Yr 3'!K47+'Bdgt Yr 4'!K47+'Bdgt Yr 5'!K47</f>
        <v>0</v>
      </c>
      <c r="I38" s="24">
        <f>'Bdgt Yr 1'!L47+'Bdgt Yr 2'!L47+'Bdgt Yr 3'!L47+'Bdgt Yr 4'!L47+'Bdgt Yr 5'!L47</f>
        <v>0</v>
      </c>
      <c r="J38" s="62">
        <f>'Bdgt Yr 1'!M47+'Bdgt Yr 2'!M47+'Bdgt Yr 3'!M47+'Bdgt Yr 4'!M47+'Bdgt Yr 5'!M47</f>
        <v>0</v>
      </c>
      <c r="K38" s="374">
        <f>'Bdgt Yr 1'!N47+'Bdgt Yr 2'!N47+'Bdgt Yr 3'!N47+'Bdgt Yr 4'!N47+'Bdgt Yr 5'!N47</f>
        <v>0</v>
      </c>
      <c r="L38" s="375">
        <f>'Bdgt Yr 1'!O47+'Bdgt Yr 2'!O47+'Bdgt Yr 3'!O47+'Bdgt Yr 4'!O47+'Bdgt Yr 5'!O47</f>
        <v>0</v>
      </c>
      <c r="M38" s="376">
        <f>'Bdgt Yr 1'!P47+'Bdgt Yr 2'!P47+'Bdgt Yr 3'!P47+'Bdgt Yr 4'!P47+'Bdgt Yr 5'!P47</f>
        <v>0</v>
      </c>
      <c r="O38" s="377"/>
      <c r="P38" s="377"/>
      <c r="Q38" s="377"/>
    </row>
    <row r="39" spans="2:17" ht="15" customHeight="1">
      <c r="B39" s="982">
        <v>135050</v>
      </c>
      <c r="C39" s="983"/>
      <c r="D39" s="1569" t="s">
        <v>173</v>
      </c>
      <c r="E39" s="1570"/>
      <c r="F39" s="660">
        <f>'Bdgt Yr 1'!H48+'Bdgt Yr 2'!H48+'Bdgt Yr 3'!H48+'Bdgt Yr 4'!H48+'Bdgt Yr 5'!H48</f>
        <v>0</v>
      </c>
      <c r="G39" s="661">
        <f>'Bdgt Yr 1'!I48+'Bdgt Yr 2'!I48+'Bdgt Yr 3'!I48+'Bdgt Yr 4'!I48+'Bdgt Yr 5'!I48</f>
        <v>0</v>
      </c>
      <c r="H39" s="24">
        <f>'Bdgt Yr 1'!K48+'Bdgt Yr 2'!K48+'Bdgt Yr 3'!K48+'Bdgt Yr 4'!K48+'Bdgt Yr 5'!K48</f>
        <v>0</v>
      </c>
      <c r="I39" s="35">
        <f>'Bdgt Yr 1'!L48+'Bdgt Yr 2'!L48+'Bdgt Yr 3'!L48+'Bdgt Yr 4'!L48+'Bdgt Yr 5'!L48</f>
        <v>0</v>
      </c>
      <c r="J39" s="62">
        <f>'Bdgt Yr 1'!M48+'Bdgt Yr 2'!M48+'Bdgt Yr 3'!M48+'Bdgt Yr 4'!M48+'Bdgt Yr 5'!M48</f>
        <v>0</v>
      </c>
      <c r="K39" s="374">
        <f>'Bdgt Yr 1'!N48+'Bdgt Yr 2'!N48+'Bdgt Yr 3'!N48+'Bdgt Yr 4'!N48+'Bdgt Yr 5'!N48</f>
        <v>0</v>
      </c>
      <c r="L39" s="375">
        <f>'Bdgt Yr 1'!O48+'Bdgt Yr 2'!O48+'Bdgt Yr 3'!O48+'Bdgt Yr 4'!O48+'Bdgt Yr 5'!O48</f>
        <v>0</v>
      </c>
      <c r="M39" s="376">
        <f>'Bdgt Yr 1'!P48+'Bdgt Yr 2'!P48+'Bdgt Yr 3'!P48+'Bdgt Yr 4'!P48+'Bdgt Yr 5'!P48</f>
        <v>0</v>
      </c>
      <c r="O39" s="377"/>
      <c r="P39" s="377"/>
      <c r="Q39" s="377"/>
    </row>
    <row r="40" spans="2:17" ht="15" customHeight="1">
      <c r="B40" s="982"/>
      <c r="C40" s="983"/>
      <c r="D40" s="998"/>
      <c r="E40" s="1000"/>
      <c r="F40" s="385" t="s">
        <v>255</v>
      </c>
      <c r="G40" s="385" t="s">
        <v>175</v>
      </c>
      <c r="H40" s="1151"/>
      <c r="I40" s="544" t="s">
        <v>145</v>
      </c>
      <c r="J40" s="386" t="s">
        <v>146</v>
      </c>
      <c r="K40" s="241" t="s">
        <v>176</v>
      </c>
      <c r="L40" s="242" t="s">
        <v>145</v>
      </c>
      <c r="M40" s="289" t="s">
        <v>146</v>
      </c>
    </row>
    <row r="41" spans="2:17" ht="15" customHeight="1">
      <c r="B41" s="982">
        <v>135050</v>
      </c>
      <c r="C41" s="983"/>
      <c r="D41" s="1569" t="s">
        <v>177</v>
      </c>
      <c r="E41" s="1570"/>
      <c r="F41" s="387">
        <f>'Bdgt Yr 1'!H50+'Bdgt Yr 2'!H50+'Bdgt Yr 3'!H50+'Bdgt Yr 4'!H50+'Bdgt Yr 5'!H50</f>
        <v>0</v>
      </c>
      <c r="G41" s="388">
        <f>'Bdgt Yr 1'!J50+'Bdgt Yr 2'!J50+'Bdgt Yr 3'!J50+'Bdgt Yr 4'!J50+'Bdgt Yr 5'!J50</f>
        <v>0</v>
      </c>
      <c r="H41" s="1152"/>
      <c r="I41" s="24">
        <f>'Bdgt Yr 1'!L50+'Bdgt Yr 2'!L50+'Bdgt Yr 3'!L50+'Bdgt Yr 4'!L50+'Bdgt Yr 5'!L50</f>
        <v>0</v>
      </c>
      <c r="J41" s="389">
        <f>'Bdgt Yr 1'!M50+'Bdgt Yr 2'!M50+'Bdgt Yr 3'!M50+'Bdgt Yr 4'!M50+'Bdgt Yr 5'!M50</f>
        <v>0</v>
      </c>
      <c r="K41" s="374">
        <f>'Bdgt Yr 1'!N50+'Bdgt Yr 2'!N50+'Bdgt Yr 3'!N50+'Bdgt Yr 4'!N50+'Bdgt Yr 5'!N50</f>
        <v>0</v>
      </c>
      <c r="L41" s="375">
        <f>'Bdgt Yr 1'!O50+'Bdgt Yr 2'!O50+'Bdgt Yr 3'!O50+'Bdgt Yr 4'!O50+'Bdgt Yr 5'!O50</f>
        <v>0</v>
      </c>
      <c r="M41" s="376">
        <f>'Bdgt Yr 1'!P50+'Bdgt Yr 2'!P50+'Bdgt Yr 3'!P50+'Bdgt Yr 4'!P50+'Bdgt Yr 5'!P50</f>
        <v>0</v>
      </c>
      <c r="O41" s="377"/>
      <c r="P41" s="377"/>
      <c r="Q41" s="377"/>
    </row>
    <row r="42" spans="2:17" ht="14.25" customHeight="1" thickBot="1">
      <c r="B42" s="982">
        <v>135050</v>
      </c>
      <c r="C42" s="983"/>
      <c r="D42" s="1571" t="s">
        <v>177</v>
      </c>
      <c r="E42" s="1572"/>
      <c r="F42" s="390">
        <f>'Bdgt Yr 1'!H51+'Bdgt Yr 2'!H51+'Bdgt Yr 3'!H51+'Bdgt Yr 4'!H51+'Bdgt Yr 5'!H51</f>
        <v>0</v>
      </c>
      <c r="G42" s="391">
        <f>'Bdgt Yr 1'!J51+'Bdgt Yr 2'!J51+'Bdgt Yr 3'!J51+'Bdgt Yr 4'!J51+'Bdgt Yr 5'!J51</f>
        <v>0</v>
      </c>
      <c r="H42" s="1153"/>
      <c r="I42" s="35">
        <f>'Bdgt Yr 1'!L51+'Bdgt Yr 2'!L51+'Bdgt Yr 3'!L51+'Bdgt Yr 4'!L51+'Bdgt Yr 5'!L51</f>
        <v>0</v>
      </c>
      <c r="J42" s="545">
        <f>'Bdgt Yr 1'!M51+'Bdgt Yr 2'!M51+'Bdgt Yr 3'!M51+'Bdgt Yr 4'!M51+'Bdgt Yr 5'!M51</f>
        <v>0</v>
      </c>
      <c r="K42" s="374">
        <f>'Bdgt Yr 1'!N51+'Bdgt Yr 2'!N51+'Bdgt Yr 3'!N51+'Bdgt Yr 4'!N51+'Bdgt Yr 5'!N51</f>
        <v>0</v>
      </c>
      <c r="L42" s="375">
        <f>'Bdgt Yr 1'!O51+'Bdgt Yr 2'!O51+'Bdgt Yr 3'!O51+'Bdgt Yr 4'!O51+'Bdgt Yr 5'!O51</f>
        <v>0</v>
      </c>
      <c r="M42" s="376">
        <f>'Bdgt Yr 1'!P51+'Bdgt Yr 2'!P51+'Bdgt Yr 3'!P51+'Bdgt Yr 4'!P51+'Bdgt Yr 5'!P51</f>
        <v>0</v>
      </c>
      <c r="O42" s="377"/>
      <c r="P42" s="377"/>
      <c r="Q42" s="377"/>
    </row>
    <row r="43" spans="2:17" ht="15" thickBot="1">
      <c r="B43" s="1146" t="s">
        <v>178</v>
      </c>
      <c r="C43" s="1147"/>
      <c r="D43" s="1147"/>
      <c r="E43" s="1147"/>
      <c r="F43" s="1186"/>
      <c r="G43" s="1186"/>
      <c r="H43" s="265">
        <f>SUM(H36:H39,F41:G42)</f>
        <v>0</v>
      </c>
      <c r="I43" s="266">
        <f>SUM(I36:I42)</f>
        <v>0</v>
      </c>
      <c r="J43" s="267">
        <f>SUM(J36:J42)</f>
        <v>0</v>
      </c>
      <c r="K43" s="290">
        <f t="shared" ref="K43:M43" si="2">SUM(K40:K42)</f>
        <v>0</v>
      </c>
      <c r="L43" s="291">
        <f t="shared" si="2"/>
        <v>0</v>
      </c>
      <c r="M43" s="292">
        <f t="shared" si="2"/>
        <v>0</v>
      </c>
    </row>
    <row r="44" spans="2:17" ht="7.5" customHeight="1" thickBot="1">
      <c r="B44" s="1148"/>
      <c r="C44" s="1148"/>
      <c r="D44" s="1148"/>
      <c r="E44" s="1148"/>
      <c r="F44" s="1148"/>
      <c r="G44" s="1148"/>
      <c r="H44" s="1148"/>
      <c r="I44" s="1148"/>
      <c r="J44" s="1148"/>
    </row>
    <row r="45" spans="2:17" ht="15" customHeight="1" thickBot="1">
      <c r="B45" s="1188" t="s">
        <v>179</v>
      </c>
      <c r="C45" s="1189"/>
      <c r="D45" s="1189"/>
      <c r="E45" s="1189"/>
      <c r="F45" s="1189"/>
      <c r="G45" s="1189"/>
      <c r="H45" s="297">
        <f>H22+H32+H43</f>
        <v>0</v>
      </c>
      <c r="I45" s="297">
        <f t="shared" ref="I45:J45" si="3">I22+I32+I43</f>
        <v>0</v>
      </c>
      <c r="J45" s="297">
        <f t="shared" si="3"/>
        <v>0</v>
      </c>
      <c r="K45" s="275">
        <f>K22+K32+K43</f>
        <v>0</v>
      </c>
      <c r="L45" s="275">
        <f t="shared" ref="L45:M45" si="4">L22+L32+L43</f>
        <v>0</v>
      </c>
      <c r="M45" s="275">
        <f t="shared" si="4"/>
        <v>0</v>
      </c>
    </row>
    <row r="46" spans="2:17" ht="14.25">
      <c r="B46" s="365"/>
      <c r="C46" s="366"/>
      <c r="D46" s="366"/>
      <c r="E46" s="366"/>
      <c r="F46" s="366"/>
      <c r="G46" s="366"/>
      <c r="H46" s="370"/>
      <c r="I46" s="371"/>
      <c r="J46" s="371"/>
      <c r="K46" s="371"/>
      <c r="L46" s="371"/>
      <c r="M46" s="371"/>
    </row>
    <row r="47" spans="2:17" ht="15.75" thickBot="1">
      <c r="B47" s="1180" t="s">
        <v>180</v>
      </c>
      <c r="C47" s="1180"/>
      <c r="D47" s="1180"/>
      <c r="E47" s="1180"/>
      <c r="F47" s="1180"/>
      <c r="G47" s="1180"/>
      <c r="H47" s="1180"/>
      <c r="I47" s="1180"/>
      <c r="J47" s="1180"/>
      <c r="K47" s="1180"/>
      <c r="L47" s="1180"/>
      <c r="M47" s="1180"/>
    </row>
    <row r="48" spans="2:17" ht="7.5" customHeight="1" thickBot="1">
      <c r="B48" s="1148"/>
      <c r="C48" s="1148"/>
      <c r="D48" s="1148"/>
      <c r="E48" s="1148"/>
      <c r="F48" s="1148"/>
      <c r="G48" s="1148"/>
      <c r="H48" s="1148"/>
      <c r="I48" s="1148"/>
      <c r="J48" s="1148"/>
      <c r="K48" s="340"/>
    </row>
    <row r="49" spans="2:13" ht="14.25">
      <c r="B49" s="1573" t="s">
        <v>181</v>
      </c>
      <c r="C49" s="1574"/>
      <c r="D49" s="1574"/>
      <c r="E49" s="1574"/>
      <c r="F49" s="1159"/>
      <c r="G49" s="1159"/>
      <c r="H49" s="1159"/>
      <c r="I49" s="1159"/>
      <c r="J49" s="1159"/>
      <c r="K49" s="302" t="s">
        <v>185</v>
      </c>
    </row>
    <row r="50" spans="2:13" ht="15" customHeight="1">
      <c r="B50" s="1111" t="str">
        <f>'Bdgt Yr 1'!B59</f>
        <v>689036</v>
      </c>
      <c r="C50" s="1112">
        <f>'Bdgt Yr 1'!C59</f>
        <v>0</v>
      </c>
      <c r="D50" s="1575" t="s">
        <v>187</v>
      </c>
      <c r="E50" s="1575"/>
      <c r="F50" s="1157"/>
      <c r="G50" s="1157"/>
      <c r="H50" s="1157"/>
      <c r="I50" s="1158"/>
      <c r="J50" s="392">
        <f>'Bdgt Yr 1'!M59+'Bdgt Yr 2'!M59+'Bdgt Yr 3'!M59+'Bdgt Yr 4'!M59+'Bdgt Yr 5'!M59</f>
        <v>0</v>
      </c>
      <c r="K50" s="300">
        <f>'Bdgt Yr 1'!N59+'Bdgt Yr 2'!N59+'Bdgt Yr 3'!N59+'Bdgt Yr 4'!N59+'Bdgt Yr 5'!N59</f>
        <v>0</v>
      </c>
    </row>
    <row r="51" spans="2:13" ht="15" customHeight="1">
      <c r="B51" s="1111" t="str">
        <f>'Bdgt Yr 1'!B60</f>
        <v>689036</v>
      </c>
      <c r="C51" s="1112">
        <f>'Bdgt Yr 1'!C60</f>
        <v>0</v>
      </c>
      <c r="D51" s="1576" t="s">
        <v>188</v>
      </c>
      <c r="E51" s="1576"/>
      <c r="F51" s="1157"/>
      <c r="G51" s="1157"/>
      <c r="H51" s="1157"/>
      <c r="I51" s="1158"/>
      <c r="J51" s="392">
        <f>'Bdgt Yr 1'!M60+'Bdgt Yr 2'!M60+'Bdgt Yr 3'!M60+'Bdgt Yr 4'!M60+'Bdgt Yr 5'!M60</f>
        <v>0</v>
      </c>
      <c r="K51" s="300">
        <f>'Bdgt Yr 1'!N60+'Bdgt Yr 2'!N60+'Bdgt Yr 3'!N60+'Bdgt Yr 4'!N60+'Bdgt Yr 5'!N60</f>
        <v>0</v>
      </c>
    </row>
    <row r="52" spans="2:13" ht="15" customHeight="1" thickBot="1">
      <c r="B52" s="1111">
        <f>'Bdgt Yr 1'!B61</f>
        <v>689036</v>
      </c>
      <c r="C52" s="1112">
        <f>'Bdgt Yr 1'!C61</f>
        <v>0</v>
      </c>
      <c r="D52" s="1577" t="str">
        <f>'Bdgt Yr 1'!D61</f>
        <v>Additional Fees</v>
      </c>
      <c r="E52" s="1577"/>
      <c r="F52" s="1157"/>
      <c r="G52" s="1157"/>
      <c r="H52" s="1157"/>
      <c r="I52" s="1158"/>
      <c r="J52" s="392">
        <f>'Bdgt Yr 1'!M61+'Bdgt Yr 2'!M61+'Bdgt Yr 3'!M61+'Bdgt Yr 4'!M61+'Bdgt Yr 5'!M61</f>
        <v>0</v>
      </c>
      <c r="K52" s="300">
        <f>'Bdgt Yr 1'!N61+'Bdgt Yr 2'!N61+'Bdgt Yr 3'!N61+'Bdgt Yr 4'!N61+'Bdgt Yr 5'!N61</f>
        <v>0</v>
      </c>
    </row>
    <row r="53" spans="2:13" ht="15" customHeight="1" thickBot="1">
      <c r="B53" s="1146" t="s">
        <v>229</v>
      </c>
      <c r="C53" s="1147"/>
      <c r="D53" s="1147"/>
      <c r="E53" s="1147"/>
      <c r="F53" s="1147"/>
      <c r="G53" s="1147"/>
      <c r="H53" s="1147"/>
      <c r="I53" s="1156"/>
      <c r="J53" s="339">
        <f>SUM(J50:J52)</f>
        <v>0</v>
      </c>
      <c r="K53" s="301">
        <f>SUM(K50:K52)</f>
        <v>0</v>
      </c>
    </row>
    <row r="54" spans="2:13" ht="7.5" customHeight="1" thickBot="1">
      <c r="B54" s="1148"/>
      <c r="C54" s="1148"/>
      <c r="D54" s="1148"/>
      <c r="E54" s="1148"/>
      <c r="F54" s="1148"/>
      <c r="G54" s="1148"/>
      <c r="H54" s="1148"/>
      <c r="I54" s="1148"/>
      <c r="J54" s="1148"/>
      <c r="K54" s="340"/>
    </row>
    <row r="55" spans="2:13" ht="14.25">
      <c r="B55" s="1573" t="s">
        <v>256</v>
      </c>
      <c r="C55" s="1574"/>
      <c r="D55" s="1574"/>
      <c r="E55" s="1574"/>
      <c r="F55" s="1159"/>
      <c r="G55" s="1159"/>
      <c r="H55" s="1159"/>
      <c r="I55" s="1159"/>
      <c r="J55" s="1159"/>
      <c r="K55" s="299" t="s">
        <v>185</v>
      </c>
      <c r="L55" s="264"/>
      <c r="M55" s="264"/>
    </row>
    <row r="56" spans="2:13" ht="15" customHeight="1">
      <c r="B56" s="1111" t="str">
        <f>'Bdgt Yr 1'!B65</f>
        <v>4000BP</v>
      </c>
      <c r="C56" s="1112">
        <f>'Bdgt Yr 1'!C65</f>
        <v>0</v>
      </c>
      <c r="D56" s="1578" t="s">
        <v>116</v>
      </c>
      <c r="E56" s="1578"/>
      <c r="F56" s="1157"/>
      <c r="G56" s="1157"/>
      <c r="H56" s="1157"/>
      <c r="I56" s="1158"/>
      <c r="J56" s="392">
        <f>'Bdgt Yr 1'!M65+'Bdgt Yr 2'!M65+'Bdgt Yr 3'!M65+'Bdgt Yr 4'!M65+'Bdgt Yr 5'!M65</f>
        <v>0</v>
      </c>
      <c r="K56" s="300">
        <f>'Bdgt Yr 1'!N65+'Bdgt Yr 2'!N65+'Bdgt Yr 3'!N65+'Bdgt Yr 4'!N65+'Bdgt Yr 5'!N65</f>
        <v>0</v>
      </c>
    </row>
    <row r="57" spans="2:13" ht="15.75" customHeight="1" thickBot="1">
      <c r="B57" s="1111" t="str">
        <f>'Bdgt Yr 1'!B66</f>
        <v>4000BP</v>
      </c>
      <c r="C57" s="1112">
        <f>'Bdgt Yr 1'!C66</f>
        <v>0</v>
      </c>
      <c r="D57" s="1579" t="s">
        <v>116</v>
      </c>
      <c r="E57" s="1579"/>
      <c r="F57" s="1190"/>
      <c r="G57" s="1190"/>
      <c r="H57" s="1190"/>
      <c r="I57" s="1191"/>
      <c r="J57" s="392">
        <f>'Bdgt Yr 1'!M66+'Bdgt Yr 2'!M66+'Bdgt Yr 3'!M66+'Bdgt Yr 4'!M66+'Bdgt Yr 5'!M66</f>
        <v>0</v>
      </c>
      <c r="K57" s="300">
        <f>'Bdgt Yr 1'!N66+'Bdgt Yr 2'!N66+'Bdgt Yr 3'!N66+'Bdgt Yr 4'!N66+'Bdgt Yr 5'!N66</f>
        <v>0</v>
      </c>
    </row>
    <row r="58" spans="2:13" ht="15" thickBot="1">
      <c r="B58" s="1146" t="s">
        <v>193</v>
      </c>
      <c r="C58" s="1147"/>
      <c r="D58" s="1147"/>
      <c r="E58" s="1147"/>
      <c r="F58" s="1147"/>
      <c r="G58" s="1147"/>
      <c r="H58" s="1147"/>
      <c r="I58" s="1187"/>
      <c r="J58" s="338">
        <f>SUM(J56:J57)</f>
        <v>0</v>
      </c>
      <c r="K58" s="301">
        <f>SUM(K57:K57)</f>
        <v>0</v>
      </c>
    </row>
    <row r="59" spans="2:13" ht="7.5" customHeight="1" thickBot="1">
      <c r="B59" s="1148"/>
      <c r="C59" s="1148"/>
      <c r="D59" s="1148"/>
      <c r="E59" s="1148"/>
      <c r="F59" s="1148"/>
      <c r="G59" s="1148"/>
      <c r="H59" s="1148"/>
      <c r="I59" s="1148"/>
      <c r="J59" s="1148"/>
      <c r="K59" s="340"/>
    </row>
    <row r="60" spans="2:13" ht="14.25">
      <c r="B60" s="1573" t="s">
        <v>194</v>
      </c>
      <c r="C60" s="1574"/>
      <c r="D60" s="1574"/>
      <c r="E60" s="1574"/>
      <c r="F60" s="1159"/>
      <c r="G60" s="1159"/>
      <c r="H60" s="1159"/>
      <c r="I60" s="1159"/>
      <c r="J60" s="1159"/>
      <c r="K60" s="302" t="s">
        <v>185</v>
      </c>
    </row>
    <row r="61" spans="2:13" ht="15" customHeight="1">
      <c r="B61" s="1111" t="str">
        <f>'Bdgt Yr 1'!B70</f>
        <v>5000BP</v>
      </c>
      <c r="C61" s="1112">
        <f>'Bdgt Yr 1'!C70</f>
        <v>0</v>
      </c>
      <c r="D61" s="1575" t="s">
        <v>196</v>
      </c>
      <c r="E61" s="1575"/>
      <c r="F61" s="1157"/>
      <c r="G61" s="1157"/>
      <c r="H61" s="1157"/>
      <c r="I61" s="1158"/>
      <c r="J61" s="392">
        <f>'Bdgt Yr 1'!M70+'Bdgt Yr 2'!M70+'Bdgt Yr 3'!M70+'Bdgt Yr 4'!M70+'Bdgt Yr 5'!M70</f>
        <v>0</v>
      </c>
      <c r="K61" s="300">
        <f>'Bdgt Yr 1'!N70+'Bdgt Yr 2'!N70+'Bdgt Yr 3'!N70+'Bdgt Yr 4'!N70+'Bdgt Yr 5'!N70</f>
        <v>0</v>
      </c>
    </row>
    <row r="62" spans="2:13" ht="15" customHeight="1">
      <c r="B62" s="1111" t="str">
        <f>'Bdgt Yr 1'!B71</f>
        <v>271410</v>
      </c>
      <c r="C62" s="1112">
        <f>'Bdgt Yr 1'!C71</f>
        <v>0</v>
      </c>
      <c r="D62" s="1576" t="s">
        <v>120</v>
      </c>
      <c r="E62" s="1576"/>
      <c r="F62" s="1157"/>
      <c r="G62" s="1157"/>
      <c r="H62" s="1157"/>
      <c r="I62" s="1158"/>
      <c r="J62" s="392">
        <f>'Bdgt Yr 1'!M71+'Bdgt Yr 2'!M71+'Bdgt Yr 3'!M71+'Bdgt Yr 4'!M71+'Bdgt Yr 5'!M71</f>
        <v>0</v>
      </c>
      <c r="K62" s="300">
        <f>'Bdgt Yr 1'!N71+'Bdgt Yr 2'!N71+'Bdgt Yr 3'!N71+'Bdgt Yr 4'!N71+'Bdgt Yr 5'!N71</f>
        <v>0</v>
      </c>
    </row>
    <row r="63" spans="2:13" ht="15" customHeight="1">
      <c r="B63" s="1111" t="str">
        <f>'Bdgt Yr 1'!B72</f>
        <v>218105</v>
      </c>
      <c r="C63" s="1112">
        <f>'Bdgt Yr 1'!C72</f>
        <v>0</v>
      </c>
      <c r="D63" s="1576" t="s">
        <v>199</v>
      </c>
      <c r="E63" s="1576"/>
      <c r="F63" s="1157"/>
      <c r="G63" s="1157"/>
      <c r="H63" s="1157"/>
      <c r="I63" s="1158"/>
      <c r="J63" s="392">
        <f>'Bdgt Yr 1'!M72+'Bdgt Yr 2'!M72+'Bdgt Yr 3'!M72+'Bdgt Yr 4'!M72+'Bdgt Yr 5'!M72</f>
        <v>0</v>
      </c>
      <c r="K63" s="300">
        <f>'Bdgt Yr 1'!N72+'Bdgt Yr 2'!N72+'Bdgt Yr 3'!N72+'Bdgt Yr 4'!N72+'Bdgt Yr 5'!N72</f>
        <v>0</v>
      </c>
    </row>
    <row r="64" spans="2:13" ht="15" customHeight="1" thickBot="1">
      <c r="B64" s="1111"/>
      <c r="C64" s="1112"/>
      <c r="D64" s="1577" t="s">
        <v>200</v>
      </c>
      <c r="E64" s="1577"/>
      <c r="F64" s="1190"/>
      <c r="G64" s="1190"/>
      <c r="H64" s="1190"/>
      <c r="I64" s="1191"/>
      <c r="J64" s="392">
        <f>'Bdgt Yr 1'!M73+'Bdgt Yr 2'!M73+'Bdgt Yr 3'!M73+'Bdgt Yr 4'!M73+'Bdgt Yr 5'!M73</f>
        <v>0</v>
      </c>
      <c r="K64" s="300">
        <f>'Bdgt Yr 1'!N73+'Bdgt Yr 2'!N73+'Bdgt Yr 3'!N73+'Bdgt Yr 4'!N73+'Bdgt Yr 5'!N73</f>
        <v>0</v>
      </c>
    </row>
    <row r="65" spans="2:11" ht="15" thickBot="1">
      <c r="B65" s="1146" t="s">
        <v>201</v>
      </c>
      <c r="C65" s="1147"/>
      <c r="D65" s="1147"/>
      <c r="E65" s="1147"/>
      <c r="F65" s="1147"/>
      <c r="G65" s="1147"/>
      <c r="H65" s="1147"/>
      <c r="I65" s="1156"/>
      <c r="J65" s="339">
        <f>SUM(J61:J64)</f>
        <v>0</v>
      </c>
      <c r="K65" s="301">
        <f>SUM(K61:K64)</f>
        <v>0</v>
      </c>
    </row>
    <row r="66" spans="2:11" ht="7.5" customHeight="1" thickBot="1">
      <c r="B66" s="1148"/>
      <c r="C66" s="1148"/>
      <c r="D66" s="1148"/>
      <c r="E66" s="1148"/>
      <c r="F66" s="1148"/>
      <c r="G66" s="1148"/>
      <c r="H66" s="1148"/>
      <c r="I66" s="1148"/>
      <c r="J66" s="1148"/>
      <c r="K66" s="340"/>
    </row>
    <row r="67" spans="2:11" ht="14.25">
      <c r="B67" s="1543" t="s">
        <v>202</v>
      </c>
      <c r="C67" s="1544"/>
      <c r="D67" s="1544"/>
      <c r="E67" s="1544"/>
      <c r="F67" s="1159"/>
      <c r="G67" s="1159"/>
      <c r="H67" s="1159"/>
      <c r="I67" s="1159"/>
      <c r="J67" s="1159"/>
      <c r="K67" s="302" t="s">
        <v>185</v>
      </c>
    </row>
    <row r="68" spans="2:11" ht="15" customHeight="1">
      <c r="B68" s="1111" t="str">
        <f>'Bdgt Yr 1'!B77</f>
        <v>219924 LE $25k | 219925 GT $25k</v>
      </c>
      <c r="C68" s="1112">
        <f>'Bdgt Yr 1'!C77</f>
        <v>0</v>
      </c>
      <c r="D68" s="1198" t="s">
        <v>205</v>
      </c>
      <c r="E68" s="1198"/>
      <c r="F68" s="1209" t="str">
        <f>T('Bdgt Yr 1'!F77:K77)</f>
        <v/>
      </c>
      <c r="G68" s="1209"/>
      <c r="H68" s="1209"/>
      <c r="I68" s="515">
        <f>'Bdgt Yr 1'!L77+'Bdgt Yr 2'!L77+'Bdgt Yr 3'!L77+'Bdgt Yr 4'!L77+'Bdgt Yr 5'!L77</f>
        <v>0</v>
      </c>
      <c r="J68" s="517">
        <f>'Bdgt Yr 1'!M77+'Bdgt Yr 2'!M77+'Bdgt Yr 3'!M77+'Bdgt Yr 4'!M77+'Bdgt Yr 5'!M77</f>
        <v>0</v>
      </c>
      <c r="K68" s="300">
        <f>'Bdgt Yr 1'!N78+'Bdgt Yr 2'!N78+'Bdgt Yr 3'!N78+'Bdgt Yr 4'!N78+'Bdgt Yr 5'!N78</f>
        <v>0</v>
      </c>
    </row>
    <row r="69" spans="2:11" ht="15" customHeight="1">
      <c r="B69" s="1111" t="str">
        <f>'Bdgt Yr 1'!B78</f>
        <v>219924 LE $25k | 219925 GT $25k</v>
      </c>
      <c r="C69" s="1112">
        <f>'Bdgt Yr 1'!C78</f>
        <v>0</v>
      </c>
      <c r="D69" s="1154" t="s">
        <v>205</v>
      </c>
      <c r="E69" s="1154"/>
      <c r="F69" s="1160" t="str">
        <f>T('Bdgt Yr 1'!F78:K78)</f>
        <v/>
      </c>
      <c r="G69" s="1160"/>
      <c r="H69" s="1192"/>
      <c r="I69" s="515">
        <f>'Bdgt Yr 1'!L78+'Bdgt Yr 2'!L78+'Bdgt Yr 3'!L78+'Bdgt Yr 4'!L78+'Bdgt Yr 5'!L78</f>
        <v>0</v>
      </c>
      <c r="J69" s="518">
        <f>'Bdgt Yr 1'!M78+'Bdgt Yr 2'!M78+'Bdgt Yr 3'!M78+'Bdgt Yr 4'!M78+'Bdgt Yr 5'!M78</f>
        <v>0</v>
      </c>
      <c r="K69" s="300">
        <f>'Bdgt Yr 1'!N79+'Bdgt Yr 2'!N79+'Bdgt Yr 3'!N79+'Bdgt Yr 4'!N79+'Bdgt Yr 5'!N79</f>
        <v>0</v>
      </c>
    </row>
    <row r="70" spans="2:11" ht="15" customHeight="1">
      <c r="B70" s="1111" t="str">
        <f>'Bdgt Yr 1'!B79</f>
        <v>219924 LE $25k | 219925 GT $25k</v>
      </c>
      <c r="C70" s="1112">
        <f>'Bdgt Yr 1'!C79</f>
        <v>0</v>
      </c>
      <c r="D70" s="1154" t="s">
        <v>205</v>
      </c>
      <c r="E70" s="1154"/>
      <c r="F70" s="1160" t="str">
        <f>T('Bdgt Yr 1'!F79:K79)</f>
        <v/>
      </c>
      <c r="G70" s="1160"/>
      <c r="H70" s="1192"/>
      <c r="I70" s="515">
        <f>'Bdgt Yr 1'!L79+'Bdgt Yr 2'!L79+'Bdgt Yr 3'!L79+'Bdgt Yr 4'!L79+'Bdgt Yr 5'!L79</f>
        <v>0</v>
      </c>
      <c r="J70" s="518">
        <f>'Bdgt Yr 1'!M79+'Bdgt Yr 2'!M79+'Bdgt Yr 3'!M79+'Bdgt Yr 4'!M79+'Bdgt Yr 5'!M79</f>
        <v>0</v>
      </c>
      <c r="K70" s="300">
        <f>'Bdgt Yr 1'!N80+'Bdgt Yr 2'!N80+'Bdgt Yr 3'!N80+'Bdgt Yr 4'!N80+'Bdgt Yr 5'!N80</f>
        <v>0</v>
      </c>
    </row>
    <row r="71" spans="2:11" ht="15" customHeight="1" thickBot="1">
      <c r="B71" s="1111" t="str">
        <f>'Bdgt Yr 1'!B80</f>
        <v>219924 LE $25k | 219925 GT $25k</v>
      </c>
      <c r="C71" s="1112">
        <f>'Bdgt Yr 1'!C80</f>
        <v>0</v>
      </c>
      <c r="D71" s="1155" t="s">
        <v>205</v>
      </c>
      <c r="E71" s="1155"/>
      <c r="F71" s="1193" t="str">
        <f>T('Bdgt Yr 1'!F80:K80)</f>
        <v/>
      </c>
      <c r="G71" s="1193"/>
      <c r="H71" s="1194"/>
      <c r="I71" s="515">
        <f>'Bdgt Yr 1'!L80+'Bdgt Yr 2'!L80+'Bdgt Yr 3'!L80+'Bdgt Yr 4'!L80+'Bdgt Yr 5'!L80</f>
        <v>0</v>
      </c>
      <c r="J71" s="519">
        <f>'Bdgt Yr 1'!M80+'Bdgt Yr 2'!M80+'Bdgt Yr 3'!M80+'Bdgt Yr 4'!M80+'Bdgt Yr 5'!M80</f>
        <v>0</v>
      </c>
      <c r="K71" s="300">
        <f>'Bdgt Yr 1'!N81+'Bdgt Yr 2'!N81+'Bdgt Yr 3'!N81+'Bdgt Yr 4'!N81+'Bdgt Yr 5'!N81</f>
        <v>0</v>
      </c>
    </row>
    <row r="72" spans="2:11" ht="15" thickBot="1">
      <c r="B72" s="1146" t="s">
        <v>257</v>
      </c>
      <c r="C72" s="1147"/>
      <c r="D72" s="1147"/>
      <c r="E72" s="1147"/>
      <c r="F72" s="1147"/>
      <c r="G72" s="1147"/>
      <c r="H72" s="1147"/>
      <c r="I72" s="614">
        <f>SUM(I68:I71)</f>
        <v>0</v>
      </c>
      <c r="J72" s="339">
        <f>SUM(J68:J71)</f>
        <v>0</v>
      </c>
      <c r="K72" s="301">
        <f>SUM(K68:K71)</f>
        <v>0</v>
      </c>
    </row>
    <row r="73" spans="2:11" ht="7.5" customHeight="1" thickBot="1">
      <c r="B73" s="1148"/>
      <c r="C73" s="1148"/>
      <c r="D73" s="1148"/>
      <c r="E73" s="1148"/>
      <c r="F73" s="1148"/>
      <c r="G73" s="1148"/>
      <c r="H73" s="1148"/>
      <c r="I73" s="1148"/>
      <c r="J73" s="1148"/>
      <c r="K73" s="340"/>
    </row>
    <row r="74" spans="2:11" ht="14.25">
      <c r="B74" s="1573" t="s">
        <v>207</v>
      </c>
      <c r="C74" s="1574"/>
      <c r="D74" s="1574"/>
      <c r="E74" s="1574"/>
      <c r="F74" s="1159"/>
      <c r="G74" s="1159"/>
      <c r="H74" s="1159"/>
      <c r="I74" s="1159"/>
      <c r="J74" s="1159"/>
      <c r="K74" s="302" t="s">
        <v>185</v>
      </c>
    </row>
    <row r="75" spans="2:11" ht="15" customHeight="1">
      <c r="B75" s="1111" t="str">
        <f>'Bdgt Yr 1'!B84</f>
        <v>271410</v>
      </c>
      <c r="C75" s="1112">
        <f>'Bdgt Yr 1'!C84</f>
        <v>0</v>
      </c>
      <c r="D75" s="1578" t="s">
        <v>208</v>
      </c>
      <c r="E75" s="1578"/>
      <c r="F75" s="1157"/>
      <c r="G75" s="1157"/>
      <c r="H75" s="1157"/>
      <c r="I75" s="1158"/>
      <c r="J75" s="392">
        <f>'Bdgt Yr 1'!M84+'Bdgt Yr 2'!M84+'Bdgt Yr 3'!M84+'Bdgt Yr 4'!M84+'Bdgt Yr 5'!M84</f>
        <v>0</v>
      </c>
      <c r="K75" s="300">
        <f>'Bdgt Yr 1'!N84+'Bdgt Yr 2'!N84+'Bdgt Yr 3'!N84+'Bdgt Yr 4'!N84+'Bdgt Yr 5'!N84</f>
        <v>0</v>
      </c>
    </row>
    <row r="76" spans="2:11" ht="15" customHeight="1" thickBot="1">
      <c r="B76" s="1111" t="str">
        <f>'Bdgt Yr 1'!B85</f>
        <v>271933</v>
      </c>
      <c r="C76" s="1112">
        <f>'Bdgt Yr 1'!C85</f>
        <v>0</v>
      </c>
      <c r="D76" s="1579" t="s">
        <v>210</v>
      </c>
      <c r="E76" s="1579"/>
      <c r="F76" s="1190"/>
      <c r="G76" s="1190"/>
      <c r="H76" s="1190"/>
      <c r="I76" s="1191"/>
      <c r="J76" s="392">
        <f>'Bdgt Yr 1'!M85+'Bdgt Yr 2'!M85+'Bdgt Yr 3'!M85+'Bdgt Yr 4'!M85+'Bdgt Yr 5'!M85</f>
        <v>0</v>
      </c>
      <c r="K76" s="300">
        <f>'Bdgt Yr 1'!N85+'Bdgt Yr 2'!N85+'Bdgt Yr 3'!N85+'Bdgt Yr 4'!N85+'Bdgt Yr 5'!N85</f>
        <v>0</v>
      </c>
    </row>
    <row r="77" spans="2:11" ht="15" thickBot="1">
      <c r="B77" s="1146" t="s">
        <v>211</v>
      </c>
      <c r="C77" s="1147"/>
      <c r="D77" s="1147"/>
      <c r="E77" s="1147"/>
      <c r="F77" s="1147"/>
      <c r="G77" s="1147"/>
      <c r="H77" s="1147"/>
      <c r="I77" s="1187"/>
      <c r="J77" s="338">
        <f>SUM(J75:J76)</f>
        <v>0</v>
      </c>
      <c r="K77" s="301">
        <f>SUM(K75:K76)</f>
        <v>0</v>
      </c>
    </row>
    <row r="78" spans="2:11" ht="7.5" customHeight="1" thickBot="1">
      <c r="B78" s="1148"/>
      <c r="C78" s="1148"/>
      <c r="D78" s="1148"/>
      <c r="E78" s="1148"/>
      <c r="F78" s="1148"/>
      <c r="G78" s="1148"/>
      <c r="H78" s="1148"/>
      <c r="I78" s="1148"/>
      <c r="J78" s="1148"/>
      <c r="K78" s="340"/>
    </row>
    <row r="79" spans="2:11" ht="14.25">
      <c r="B79" s="1050" t="s">
        <v>212</v>
      </c>
      <c r="C79" s="989"/>
      <c r="D79" s="989"/>
      <c r="E79" s="989"/>
      <c r="F79" s="1159"/>
      <c r="G79" s="1159"/>
      <c r="H79" s="1159"/>
      <c r="I79" s="1159"/>
      <c r="J79" s="1201"/>
      <c r="K79" s="393" t="s">
        <v>185</v>
      </c>
    </row>
    <row r="80" spans="2:11" ht="15" customHeight="1">
      <c r="B80" s="970" t="str">
        <f>'Bdgt Yr 1'!B89</f>
        <v>3000BP</v>
      </c>
      <c r="C80" s="971"/>
      <c r="D80" s="956" t="str">
        <f>'Bdgt Yr 1'!D89</f>
        <v>Materials and Supplies</v>
      </c>
      <c r="E80" s="956"/>
      <c r="F80" s="1160"/>
      <c r="G80" s="1160"/>
      <c r="H80" s="1160"/>
      <c r="I80" s="1161"/>
      <c r="J80" s="392">
        <f>'Bdgt Yr 1'!M89+'Bdgt Yr 2'!M89+'Bdgt Yr 3'!M89+'Bdgt Yr 4'!M89+'Bdgt Yr 5'!M89</f>
        <v>0</v>
      </c>
      <c r="K80" s="300">
        <f>'Bdgt Yr 1'!N89+'Bdgt Yr 2'!N89+'Bdgt Yr 3'!N89+'Bdgt Yr 4'!N89+'Bdgt Yr 5'!N89</f>
        <v>0</v>
      </c>
    </row>
    <row r="81" spans="2:11" ht="15" customHeight="1">
      <c r="B81" s="970">
        <f>'Bdgt Yr 1'!B90</f>
        <v>583010</v>
      </c>
      <c r="C81" s="971"/>
      <c r="D81" s="948" t="str">
        <f>'Bdgt Yr 1'!D90</f>
        <v>Subscriptions and Publication Costs</v>
      </c>
      <c r="E81" s="948"/>
      <c r="F81" s="1160"/>
      <c r="G81" s="1160"/>
      <c r="H81" s="1160"/>
      <c r="I81" s="1161"/>
      <c r="J81" s="392">
        <f>'Bdgt Yr 1'!M90+'Bdgt Yr 2'!M90+'Bdgt Yr 3'!M90+'Bdgt Yr 4'!M90+'Bdgt Yr 5'!M90</f>
        <v>0</v>
      </c>
      <c r="K81" s="300">
        <f>'Bdgt Yr 1'!N90+'Bdgt Yr 2'!N90+'Bdgt Yr 3'!N90+'Bdgt Yr 4'!N90+'Bdgt Yr 5'!N90</f>
        <v>0</v>
      </c>
    </row>
    <row r="82" spans="2:11" ht="15" customHeight="1">
      <c r="B82" s="970">
        <f>'Bdgt Yr 1'!B91</f>
        <v>311010</v>
      </c>
      <c r="C82" s="971"/>
      <c r="D82" s="948" t="str">
        <f>'Bdgt Yr 1'!D91</f>
        <v xml:space="preserve">Office Supplies     </v>
      </c>
      <c r="E82" s="948"/>
      <c r="F82" s="1160"/>
      <c r="G82" s="1160"/>
      <c r="H82" s="1160"/>
      <c r="I82" s="1161"/>
      <c r="J82" s="392">
        <f>'Bdgt Yr 1'!M91+'Bdgt Yr 2'!M91+'Bdgt Yr 3'!M91+'Bdgt Yr 4'!M91+'Bdgt Yr 5'!M91</f>
        <v>0</v>
      </c>
      <c r="K82" s="300">
        <f>'Bdgt Yr 1'!N91+'Bdgt Yr 2'!N91+'Bdgt Yr 3'!N91+'Bdgt Yr 4'!N91+'Bdgt Yr 5'!N91</f>
        <v>0</v>
      </c>
    </row>
    <row r="83" spans="2:11" ht="15" customHeight="1">
      <c r="B83" s="970">
        <f>'Bdgt Yr 1'!B92</f>
        <v>293054</v>
      </c>
      <c r="C83" s="971"/>
      <c r="D83" s="948" t="str">
        <f>'Bdgt Yr 1'!D92</f>
        <v>Registration Fees</v>
      </c>
      <c r="E83" s="948"/>
      <c r="F83" s="1160"/>
      <c r="G83" s="1160"/>
      <c r="H83" s="1160"/>
      <c r="I83" s="1161"/>
      <c r="J83" s="392">
        <f>'Bdgt Yr 1'!M92+'Bdgt Yr 2'!M92+'Bdgt Yr 3'!M92+'Bdgt Yr 4'!M92+'Bdgt Yr 5'!M92</f>
        <v>0</v>
      </c>
      <c r="K83" s="300">
        <f>'Bdgt Yr 1'!N92+'Bdgt Yr 2'!N92+'Bdgt Yr 3'!N92+'Bdgt Yr 4'!N92+'Bdgt Yr 5'!N92</f>
        <v>0</v>
      </c>
    </row>
    <row r="84" spans="2:11" ht="15" customHeight="1">
      <c r="B84" s="970">
        <f>'Bdgt Yr 1'!B93</f>
        <v>281120</v>
      </c>
      <c r="C84" s="971"/>
      <c r="D84" s="948" t="str">
        <f>'Bdgt Yr 1'!D93</f>
        <v>Telephone Services</v>
      </c>
      <c r="E84" s="948"/>
      <c r="F84" s="1160"/>
      <c r="G84" s="1160"/>
      <c r="H84" s="1160"/>
      <c r="I84" s="1161"/>
      <c r="J84" s="392">
        <f>'Bdgt Yr 1'!M93+'Bdgt Yr 2'!M93+'Bdgt Yr 3'!M93+'Bdgt Yr 4'!M93+'Bdgt Yr 5'!M93</f>
        <v>0</v>
      </c>
      <c r="K84" s="300">
        <f>'Bdgt Yr 1'!N93+'Bdgt Yr 2'!N93+'Bdgt Yr 3'!N93+'Bdgt Yr 4'!N93+'Bdgt Yr 5'!N93</f>
        <v>0</v>
      </c>
    </row>
    <row r="85" spans="2:11" ht="15" customHeight="1">
      <c r="B85" s="970" t="str">
        <f>'Bdgt Yr 1'!B94</f>
        <v>2100BP</v>
      </c>
      <c r="C85" s="971"/>
      <c r="D85" s="948" t="str">
        <f>'Bdgt Yr 1'!D94</f>
        <v>Contracted Services Pool</v>
      </c>
      <c r="E85" s="948"/>
      <c r="F85" s="1160"/>
      <c r="G85" s="1160"/>
      <c r="H85" s="1160"/>
      <c r="I85" s="1161"/>
      <c r="J85" s="392">
        <f>'Bdgt Yr 1'!M94+'Bdgt Yr 2'!M94+'Bdgt Yr 3'!M94+'Bdgt Yr 4'!M94+'Bdgt Yr 5'!M94</f>
        <v>0</v>
      </c>
      <c r="K85" s="300">
        <f>'Bdgt Yr 1'!N94+'Bdgt Yr 2'!N94+'Bdgt Yr 3'!N94+'Bdgt Yr 4'!N94+'Bdgt Yr 5'!N94</f>
        <v>0</v>
      </c>
    </row>
    <row r="86" spans="2:11" ht="15" customHeight="1">
      <c r="B86" s="970">
        <f>'Bdgt Yr 1'!B95</f>
        <v>219250</v>
      </c>
      <c r="C86" s="971"/>
      <c r="D86" s="948" t="str">
        <f>'Bdgt Yr 1'!D95</f>
        <v xml:space="preserve">Honorariums         </v>
      </c>
      <c r="E86" s="948"/>
      <c r="F86" s="1160"/>
      <c r="G86" s="1160"/>
      <c r="H86" s="1160"/>
      <c r="I86" s="1161"/>
      <c r="J86" s="392">
        <f>'Bdgt Yr 1'!M95+'Bdgt Yr 2'!M95+'Bdgt Yr 3'!M95+'Bdgt Yr 4'!M95+'Bdgt Yr 5'!M95</f>
        <v>0</v>
      </c>
      <c r="K86" s="300">
        <f>'Bdgt Yr 1'!N95+'Bdgt Yr 2'!N95+'Bdgt Yr 3'!N95+'Bdgt Yr 4'!N95+'Bdgt Yr 5'!N95</f>
        <v>0</v>
      </c>
    </row>
    <row r="87" spans="2:11" ht="15" customHeight="1">
      <c r="B87" s="970">
        <f>'Bdgt Yr 1'!B96</f>
        <v>286010</v>
      </c>
      <c r="C87" s="971"/>
      <c r="D87" s="948" t="str">
        <f>'Bdgt Yr 1'!D96</f>
        <v>Advertising</v>
      </c>
      <c r="E87" s="948"/>
      <c r="F87" s="1160"/>
      <c r="G87" s="1160"/>
      <c r="H87" s="1160"/>
      <c r="I87" s="1161"/>
      <c r="J87" s="392">
        <f>'Bdgt Yr 1'!M96+'Bdgt Yr 2'!M96+'Bdgt Yr 3'!M96+'Bdgt Yr 4'!M96+'Bdgt Yr 5'!M96</f>
        <v>0</v>
      </c>
      <c r="K87" s="300">
        <f>'Bdgt Yr 1'!N96+'Bdgt Yr 2'!N96+'Bdgt Yr 3'!N96+'Bdgt Yr 4'!N96+'Bdgt Yr 5'!N96</f>
        <v>0</v>
      </c>
    </row>
    <row r="88" spans="2:11" ht="15" customHeight="1">
      <c r="B88" s="970">
        <f>'Bdgt Yr 1'!B97</f>
        <v>282610</v>
      </c>
      <c r="C88" s="971"/>
      <c r="D88" s="948" t="str">
        <f>'Bdgt Yr 1'!D97</f>
        <v>Software Subscriptions</v>
      </c>
      <c r="E88" s="948"/>
      <c r="F88" s="1160"/>
      <c r="G88" s="1160"/>
      <c r="H88" s="1160"/>
      <c r="I88" s="1161"/>
      <c r="J88" s="392">
        <f>'Bdgt Yr 1'!M97+'Bdgt Yr 2'!M97+'Bdgt Yr 3'!M97+'Bdgt Yr 4'!M97+'Bdgt Yr 5'!M97</f>
        <v>0</v>
      </c>
      <c r="K88" s="300">
        <f>'Bdgt Yr 1'!N97+'Bdgt Yr 2'!N97+'Bdgt Yr 3'!N97+'Bdgt Yr 4'!N97+'Bdgt Yr 5'!N97</f>
        <v>0</v>
      </c>
    </row>
    <row r="89" spans="2:11" ht="15" customHeight="1">
      <c r="B89" s="970">
        <f>'Bdgt Yr 1'!B98</f>
        <v>583020</v>
      </c>
      <c r="C89" s="971"/>
      <c r="D89" s="948" t="str">
        <f>'Bdgt Yr 1'!D98</f>
        <v>Membership Dues</v>
      </c>
      <c r="E89" s="948"/>
      <c r="F89" s="1160"/>
      <c r="G89" s="1160"/>
      <c r="H89" s="1160"/>
      <c r="I89" s="1161"/>
      <c r="J89" s="392">
        <f>'Bdgt Yr 1'!M98+'Bdgt Yr 2'!M98+'Bdgt Yr 3'!M98+'Bdgt Yr 4'!M98+'Bdgt Yr 5'!M98</f>
        <v>0</v>
      </c>
      <c r="K89" s="300">
        <f>'Bdgt Yr 1'!N98+'Bdgt Yr 2'!N98+'Bdgt Yr 3'!N98+'Bdgt Yr 4'!N98+'Bdgt Yr 5'!N98</f>
        <v>0</v>
      </c>
    </row>
    <row r="90" spans="2:11" ht="15" customHeight="1">
      <c r="B90" s="970">
        <f>'Bdgt Yr 1'!B99</f>
        <v>284010</v>
      </c>
      <c r="C90" s="971"/>
      <c r="D90" s="948" t="str">
        <f>'Bdgt Yr 1'!D99</f>
        <v>Postage</v>
      </c>
      <c r="E90" s="948"/>
      <c r="F90" s="1160"/>
      <c r="G90" s="1160"/>
      <c r="H90" s="1160"/>
      <c r="I90" s="1161"/>
      <c r="J90" s="392">
        <f>'Bdgt Yr 1'!M99+'Bdgt Yr 2'!M99+'Bdgt Yr 3'!M99+'Bdgt Yr 4'!M99+'Bdgt Yr 5'!M99</f>
        <v>0</v>
      </c>
      <c r="K90" s="300">
        <f>'Bdgt Yr 1'!N99+'Bdgt Yr 2'!N99+'Bdgt Yr 3'!N99+'Bdgt Yr 4'!N99+'Bdgt Yr 5'!N99</f>
        <v>0</v>
      </c>
    </row>
    <row r="91" spans="2:11" ht="15" customHeight="1">
      <c r="B91" s="970">
        <f>'Bdgt Yr 1'!B100</f>
        <v>284040</v>
      </c>
      <c r="C91" s="971"/>
      <c r="D91" s="948" t="str">
        <f>'Bdgt Yr 1'!D100</f>
        <v>Freight/Delivery Services</v>
      </c>
      <c r="E91" s="948"/>
      <c r="F91" s="1160"/>
      <c r="G91" s="1160"/>
      <c r="H91" s="1160"/>
      <c r="I91" s="1161"/>
      <c r="J91" s="392">
        <f>'Bdgt Yr 1'!M100+'Bdgt Yr 2'!M100+'Bdgt Yr 3'!M100+'Bdgt Yr 4'!M100+'Bdgt Yr 5'!M100</f>
        <v>0</v>
      </c>
      <c r="K91" s="300">
        <f>'Bdgt Yr 1'!N100+'Bdgt Yr 2'!N100+'Bdgt Yr 3'!N100+'Bdgt Yr 4'!N100+'Bdgt Yr 5'!N100</f>
        <v>0</v>
      </c>
    </row>
    <row r="92" spans="2:11" ht="15" customHeight="1">
      <c r="B92" s="970">
        <f>'Bdgt Yr 1'!B101</f>
        <v>285010</v>
      </c>
      <c r="C92" s="971"/>
      <c r="D92" s="948" t="str">
        <f>'Bdgt Yr 1'!D101</f>
        <v>Printing And Binding</v>
      </c>
      <c r="E92" s="948"/>
      <c r="F92" s="1160"/>
      <c r="G92" s="1160"/>
      <c r="H92" s="1160"/>
      <c r="I92" s="1161"/>
      <c r="J92" s="392">
        <f>'Bdgt Yr 1'!M101+'Bdgt Yr 2'!M101+'Bdgt Yr 3'!M101+'Bdgt Yr 4'!M101+'Bdgt Yr 5'!M101</f>
        <v>0</v>
      </c>
      <c r="K92" s="300">
        <f>'Bdgt Yr 1'!N101+'Bdgt Yr 2'!N101+'Bdgt Yr 3'!N101+'Bdgt Yr 4'!N101+'Bdgt Yr 5'!N101</f>
        <v>0</v>
      </c>
    </row>
    <row r="93" spans="2:11" ht="15" customHeight="1">
      <c r="B93" s="970">
        <f>'Bdgt Yr 1'!B102</f>
        <v>453410</v>
      </c>
      <c r="C93" s="971"/>
      <c r="D93" s="948" t="str">
        <f>'Bdgt Yr 1'!D102</f>
        <v>Computer &amp; Printer Purchase Less Than $5,000 - Add $130/Year/Device for IT Services</v>
      </c>
      <c r="E93" s="948"/>
      <c r="F93" s="1160"/>
      <c r="G93" s="1160"/>
      <c r="H93" s="1160"/>
      <c r="I93" s="1161"/>
      <c r="J93" s="392">
        <f>'Bdgt Yr 1'!M102+'Bdgt Yr 2'!M102+'Bdgt Yr 3'!M102+'Bdgt Yr 4'!M102+'Bdgt Yr 5'!M102</f>
        <v>0</v>
      </c>
      <c r="K93" s="300">
        <f>'Bdgt Yr 1'!N102+'Bdgt Yr 2'!N102+'Bdgt Yr 3'!N102+'Bdgt Yr 4'!N102+'Bdgt Yr 5'!N102</f>
        <v>0</v>
      </c>
    </row>
    <row r="94" spans="2:11" ht="15" customHeight="1">
      <c r="B94" s="970">
        <f>'Bdgt Yr 1'!B103</f>
        <v>471310</v>
      </c>
      <c r="C94" s="971"/>
      <c r="D94" s="948" t="str">
        <f>'Bdgt Yr 1'!D103</f>
        <v>PC Software Purchase</v>
      </c>
      <c r="E94" s="948"/>
      <c r="F94" s="1160"/>
      <c r="G94" s="1160"/>
      <c r="H94" s="1160"/>
      <c r="I94" s="1161"/>
      <c r="J94" s="392">
        <f>'Bdgt Yr 1'!M103+'Bdgt Yr 2'!M103+'Bdgt Yr 3'!M103+'Bdgt Yr 4'!M103+'Bdgt Yr 5'!M103</f>
        <v>0</v>
      </c>
      <c r="K94" s="300">
        <f>'Bdgt Yr 1'!N103+'Bdgt Yr 2'!N103+'Bdgt Yr 3'!N103+'Bdgt Yr 4'!N103+'Bdgt Yr 5'!N103</f>
        <v>0</v>
      </c>
    </row>
    <row r="95" spans="2:11" ht="15" customHeight="1">
      <c r="B95" s="970">
        <f>'Bdgt Yr 1'!B104</f>
        <v>218105</v>
      </c>
      <c r="C95" s="971"/>
      <c r="D95" s="948" t="str">
        <f>'Bdgt Yr 1'!D104</f>
        <v>Contract Food Services</v>
      </c>
      <c r="E95" s="948"/>
      <c r="F95" s="1160"/>
      <c r="G95" s="1160"/>
      <c r="H95" s="1160"/>
      <c r="I95" s="1161"/>
      <c r="J95" s="392">
        <f>'Bdgt Yr 1'!M104+'Bdgt Yr 2'!M104+'Bdgt Yr 3'!M104+'Bdgt Yr 4'!M104+'Bdgt Yr 5'!M104</f>
        <v>0</v>
      </c>
      <c r="K95" s="300">
        <f>'Bdgt Yr 1'!N104+'Bdgt Yr 2'!N104+'Bdgt Yr 3'!N104+'Bdgt Yr 4'!N104+'Bdgt Yr 5'!N104</f>
        <v>0</v>
      </c>
    </row>
    <row r="96" spans="2:11" ht="15" customHeight="1">
      <c r="B96" s="970">
        <f>'Bdgt Yr 1'!B105</f>
        <v>218106</v>
      </c>
      <c r="C96" s="971"/>
      <c r="D96" s="948" t="str">
        <f>'Bdgt Yr 1'!D105</f>
        <v>Food Services for Conferences</v>
      </c>
      <c r="E96" s="948"/>
      <c r="F96" s="1160"/>
      <c r="G96" s="1160"/>
      <c r="H96" s="1160"/>
      <c r="I96" s="1161"/>
      <c r="J96" s="392">
        <f>'Bdgt Yr 1'!M105+'Bdgt Yr 2'!M105+'Bdgt Yr 3'!M105+'Bdgt Yr 4'!M105+'Bdgt Yr 5'!M105</f>
        <v>0</v>
      </c>
      <c r="K96" s="300">
        <f>'Bdgt Yr 1'!N105+'Bdgt Yr 2'!N105+'Bdgt Yr 3'!N105+'Bdgt Yr 4'!N105+'Bdgt Yr 5'!N105</f>
        <v>0</v>
      </c>
    </row>
    <row r="97" spans="2:13" ht="15" customHeight="1">
      <c r="B97" s="970">
        <f>'Bdgt Yr 1'!B106</f>
        <v>341010</v>
      </c>
      <c r="C97" s="971"/>
      <c r="D97" s="948" t="str">
        <f>'Bdgt Yr 1'!D106</f>
        <v xml:space="preserve">Purchase of Food Products       </v>
      </c>
      <c r="E97" s="948"/>
      <c r="F97" s="1160"/>
      <c r="G97" s="1160"/>
      <c r="H97" s="1160"/>
      <c r="I97" s="1161"/>
      <c r="J97" s="392">
        <f>'Bdgt Yr 1'!M106+'Bdgt Yr 2'!M106+'Bdgt Yr 3'!M106+'Bdgt Yr 4'!M106+'Bdgt Yr 5'!M106</f>
        <v>0</v>
      </c>
      <c r="K97" s="300">
        <f>'Bdgt Yr 1'!N106+'Bdgt Yr 2'!N106+'Bdgt Yr 3'!N106+'Bdgt Yr 4'!N106+'Bdgt Yr 5'!N106</f>
        <v>0</v>
      </c>
    </row>
    <row r="98" spans="2:13" ht="15" customHeight="1">
      <c r="B98" s="1120">
        <f>'Bdgt Yr 1'!B107</f>
        <v>251210</v>
      </c>
      <c r="C98" s="1121"/>
      <c r="D98" s="948" t="str">
        <f>'Bdgt Yr 1'!D107</f>
        <v>Rent/Lease Building/Office Space</v>
      </c>
      <c r="E98" s="948"/>
      <c r="F98" s="1160"/>
      <c r="G98" s="1160"/>
      <c r="H98" s="1160"/>
      <c r="I98" s="1161"/>
      <c r="J98" s="392">
        <f>'Bdgt Yr 1'!M107+'Bdgt Yr 2'!M107+'Bdgt Yr 3'!M107+'Bdgt Yr 4'!M107+'Bdgt Yr 5'!M107</f>
        <v>0</v>
      </c>
      <c r="K98" s="300">
        <f>'Bdgt Yr 1'!N107+'Bdgt Yr 2'!N107+'Bdgt Yr 3'!N107+'Bdgt Yr 4'!N107+'Bdgt Yr 5'!N107</f>
        <v>0</v>
      </c>
    </row>
    <row r="99" spans="2:13" ht="15" customHeight="1">
      <c r="B99" s="1212">
        <f>'Bdgt Yr 1'!B108</f>
        <v>251310</v>
      </c>
      <c r="C99" s="1213"/>
      <c r="D99" s="948" t="str">
        <f>'Bdgt Yr 1'!D108</f>
        <v>Rent/Lease Other Facilities</v>
      </c>
      <c r="E99" s="948"/>
      <c r="F99" s="1160"/>
      <c r="G99" s="1160"/>
      <c r="H99" s="1160"/>
      <c r="I99" s="1161"/>
      <c r="J99" s="392">
        <f>'Bdgt Yr 1'!M108+'Bdgt Yr 2'!M108+'Bdgt Yr 3'!M108+'Bdgt Yr 4'!M108+'Bdgt Yr 5'!M108</f>
        <v>0</v>
      </c>
      <c r="K99" s="300">
        <f>'Bdgt Yr 1'!N108+'Bdgt Yr 2'!N108+'Bdgt Yr 3'!N108+'Bdgt Yr 4'!N108+'Bdgt Yr 5'!N108</f>
        <v>0</v>
      </c>
    </row>
    <row r="100" spans="2:13" ht="15" customHeight="1">
      <c r="B100" s="1202">
        <f>'Bdgt Yr 1'!B109</f>
        <v>251320</v>
      </c>
      <c r="C100" s="1203"/>
      <c r="D100" s="948" t="str">
        <f>'Bdgt Yr 1'!D109</f>
        <v>Room Rental for Conferences</v>
      </c>
      <c r="E100" s="948"/>
      <c r="F100" s="1160"/>
      <c r="G100" s="1160"/>
      <c r="H100" s="1160"/>
      <c r="I100" s="1161"/>
      <c r="J100" s="392">
        <f>'Bdgt Yr 1'!M109+'Bdgt Yr 2'!M109+'Bdgt Yr 3'!M109+'Bdgt Yr 4'!M109+'Bdgt Yr 5'!M109</f>
        <v>0</v>
      </c>
      <c r="K100" s="300">
        <f>'Bdgt Yr 1'!N109+'Bdgt Yr 2'!N109+'Bdgt Yr 3'!N109+'Bdgt Yr 4'!N109+'Bdgt Yr 5'!N109</f>
        <v>0</v>
      </c>
    </row>
    <row r="101" spans="2:13" ht="15" customHeight="1">
      <c r="B101" s="1202">
        <f>'Bdgt Yr 1'!B110</f>
        <v>252110</v>
      </c>
      <c r="C101" s="1203"/>
      <c r="D101" s="948" t="str">
        <f>'Bdgt Yr 1'!D110</f>
        <v>Rent/Lease Motor Vehicle</v>
      </c>
      <c r="E101" s="948"/>
      <c r="F101" s="1157"/>
      <c r="G101" s="1157"/>
      <c r="H101" s="1157"/>
      <c r="I101" s="1158"/>
      <c r="J101" s="392">
        <f>'Bdgt Yr 1'!M110+'Bdgt Yr 2'!M110+'Bdgt Yr 3'!M110+'Bdgt Yr 4'!M110+'Bdgt Yr 5'!M110</f>
        <v>0</v>
      </c>
      <c r="K101" s="300">
        <f>'Bdgt Yr 1'!N110+'Bdgt Yr 2'!N110+'Bdgt Yr 3'!N110+'Bdgt Yr 4'!N110+'Bdgt Yr 5'!N110</f>
        <v>0</v>
      </c>
    </row>
    <row r="102" spans="2:13" ht="15" customHeight="1">
      <c r="B102" s="1202">
        <f>'Bdgt Yr 1'!B111</f>
        <v>219912</v>
      </c>
      <c r="C102" s="1203"/>
      <c r="D102" s="948" t="str">
        <f>'Bdgt Yr 1'!D111</f>
        <v>Research Participant Payments/Incentives</v>
      </c>
      <c r="E102" s="948"/>
      <c r="F102" s="1157"/>
      <c r="G102" s="1157"/>
      <c r="H102" s="1157"/>
      <c r="I102" s="1158"/>
      <c r="J102" s="392">
        <f>'Bdgt Yr 1'!M111+'Bdgt Yr 2'!M111+'Bdgt Yr 3'!M111+'Bdgt Yr 4'!M111+'Bdgt Yr 5'!M111</f>
        <v>0</v>
      </c>
      <c r="K102" s="300">
        <f>'Bdgt Yr 1'!N111+'Bdgt Yr 2'!N111+'Bdgt Yr 3'!N111+'Bdgt Yr 4'!N111+'Bdgt Yr 5'!N111</f>
        <v>0</v>
      </c>
    </row>
    <row r="103" spans="2:13" ht="15.75" customHeight="1" thickBot="1">
      <c r="B103" s="1210">
        <f>'Bdgt Yr 1'!B112</f>
        <v>584037</v>
      </c>
      <c r="C103" s="1211"/>
      <c r="D103" s="948" t="str">
        <f>'Bdgt Yr 1'!D112</f>
        <v>Gift Cards--NON Employee Only</v>
      </c>
      <c r="E103" s="948"/>
      <c r="F103" s="1190"/>
      <c r="G103" s="1190"/>
      <c r="H103" s="1190"/>
      <c r="I103" s="1191"/>
      <c r="J103" s="392">
        <f>'Bdgt Yr 1'!M112+'Bdgt Yr 2'!M112+'Bdgt Yr 3'!M112+'Bdgt Yr 4'!M112+'Bdgt Yr 5'!M112</f>
        <v>0</v>
      </c>
      <c r="K103" s="300">
        <f>'Bdgt Yr 1'!N112+'Bdgt Yr 2'!N112+'Bdgt Yr 3'!N112+'Bdgt Yr 4'!N112+'Bdgt Yr 5'!N112</f>
        <v>0</v>
      </c>
    </row>
    <row r="104" spans="2:13" ht="15" thickBot="1">
      <c r="B104" s="1580" t="s">
        <v>215</v>
      </c>
      <c r="C104" s="1581"/>
      <c r="D104" s="1581"/>
      <c r="E104" s="1581"/>
      <c r="F104" s="1581"/>
      <c r="G104" s="1581"/>
      <c r="H104" s="1581"/>
      <c r="I104" s="1582"/>
      <c r="J104" s="523">
        <f>SUM(J80:J103)</f>
        <v>0</v>
      </c>
      <c r="K104" s="522">
        <f>SUM(K80:K103)</f>
        <v>0</v>
      </c>
    </row>
    <row r="105" spans="2:13" ht="7.5" customHeight="1" thickBot="1">
      <c r="B105" s="1148"/>
      <c r="C105" s="1148"/>
      <c r="D105" s="1148"/>
      <c r="E105" s="1148"/>
      <c r="F105" s="1148"/>
      <c r="G105" s="1148"/>
      <c r="H105" s="1148"/>
      <c r="I105" s="1148"/>
      <c r="J105" s="1148"/>
      <c r="K105" s="340"/>
    </row>
    <row r="106" spans="2:13" ht="15" thickBot="1">
      <c r="B106" s="1188" t="s">
        <v>216</v>
      </c>
      <c r="C106" s="1189"/>
      <c r="D106" s="1189"/>
      <c r="E106" s="1189"/>
      <c r="F106" s="1189"/>
      <c r="G106" s="1189"/>
      <c r="H106" s="1189"/>
      <c r="I106" s="1204"/>
      <c r="J106" s="235">
        <f>+J45+J58+J77+J65+J104+J53+J72</f>
        <v>0</v>
      </c>
      <c r="K106" s="301">
        <f>+M45+K58+K77+K65+K104+K53</f>
        <v>0</v>
      </c>
      <c r="L106" s="202"/>
      <c r="M106" s="202"/>
    </row>
    <row r="107" spans="2:13" ht="7.5" customHeight="1" thickBot="1">
      <c r="B107" s="1148"/>
      <c r="C107" s="1148"/>
      <c r="D107" s="1148"/>
      <c r="E107" s="1148"/>
      <c r="F107" s="1148"/>
      <c r="G107" s="1148"/>
      <c r="H107" s="1148"/>
      <c r="I107" s="1148"/>
      <c r="J107" s="1148"/>
      <c r="K107" s="340"/>
    </row>
    <row r="108" spans="2:13" ht="15" thickBot="1">
      <c r="B108" s="1206" t="s">
        <v>217</v>
      </c>
      <c r="C108" s="1207"/>
      <c r="D108" s="1207"/>
      <c r="E108" s="1207"/>
      <c r="F108" s="1207"/>
      <c r="G108" s="1207"/>
      <c r="H108" s="1207"/>
      <c r="I108" s="1208"/>
      <c r="J108" s="235">
        <f>J53+J58+J65+J72-I72</f>
        <v>0</v>
      </c>
      <c r="K108" s="301">
        <f>K53+K58+K65+K72-'Cost-Share'!K66-'Cost-Share'!T66-'Cost-Share'!AC66-'Cost-Share'!AL66-'Cost-Share'!AU66</f>
        <v>0</v>
      </c>
      <c r="L108" s="202"/>
      <c r="M108" s="202"/>
    </row>
    <row r="109" spans="2:13" ht="7.5" customHeight="1">
      <c r="B109" s="1148"/>
      <c r="C109" s="1148"/>
      <c r="D109" s="1148"/>
      <c r="E109" s="1148"/>
      <c r="F109" s="1148"/>
      <c r="G109" s="1148"/>
      <c r="H109" s="1148"/>
      <c r="I109" s="1148"/>
      <c r="J109" s="1148"/>
      <c r="K109" s="340"/>
    </row>
    <row r="110" spans="2:13" ht="14.45" customHeight="1">
      <c r="B110" s="1205" t="s">
        <v>218</v>
      </c>
      <c r="C110" s="1189"/>
      <c r="D110" s="1189"/>
      <c r="E110" s="1204"/>
      <c r="F110" s="50">
        <f>'Bdgt Yr 1'!H119</f>
        <v>0.47599999999999998</v>
      </c>
      <c r="G110" s="352"/>
      <c r="H110" s="353">
        <f>J106-J108</f>
        <v>0</v>
      </c>
      <c r="I110" s="354"/>
      <c r="J110" s="235">
        <f>'Bdgt Yr 1'!M119+'Bdgt Yr 2'!M119+'Bdgt Yr 3'!M119+'Bdgt Yr 4'!M119+'Bdgt Yr 5'!M119</f>
        <v>0</v>
      </c>
      <c r="K110" s="301">
        <f>'Cost-Share'!L104+'Cost-Share'!U104+'Cost-Share'!AD104+'Cost-Share'!AM104+'Cost-Share'!AV104</f>
        <v>0</v>
      </c>
      <c r="L110" s="202"/>
      <c r="M110" s="202"/>
    </row>
    <row r="111" spans="2:13" ht="7.5" customHeight="1">
      <c r="B111" s="1148"/>
      <c r="C111" s="1148"/>
      <c r="D111" s="1148"/>
      <c r="E111" s="1148"/>
      <c r="F111" s="1148"/>
      <c r="G111" s="1148"/>
      <c r="H111" s="1148"/>
      <c r="I111" s="1148"/>
      <c r="J111" s="1148"/>
      <c r="K111" s="340"/>
    </row>
    <row r="112" spans="2:13" ht="15" thickBot="1">
      <c r="B112" s="1188" t="s">
        <v>221</v>
      </c>
      <c r="C112" s="1189"/>
      <c r="D112" s="1189"/>
      <c r="E112" s="1189"/>
      <c r="F112" s="1189"/>
      <c r="G112" s="1189"/>
      <c r="H112" s="1189"/>
      <c r="I112" s="1204"/>
      <c r="J112" s="350">
        <f>+J106+J110</f>
        <v>0</v>
      </c>
      <c r="K112" s="351">
        <f>+K106+K110</f>
        <v>0</v>
      </c>
      <c r="L112" s="259" t="s">
        <v>222</v>
      </c>
      <c r="M112" s="261">
        <v>0</v>
      </c>
    </row>
    <row r="113" spans="2:13" ht="7.5" customHeight="1" thickBot="1">
      <c r="B113" s="1148"/>
      <c r="C113" s="1148"/>
      <c r="D113" s="1148"/>
      <c r="E113" s="1148"/>
      <c r="F113" s="1148"/>
      <c r="G113" s="1148"/>
      <c r="H113" s="1148"/>
      <c r="I113" s="1148"/>
      <c r="J113" s="1148"/>
      <c r="K113" s="340"/>
    </row>
    <row r="114" spans="2:13" ht="15" thickBot="1">
      <c r="B114" s="347"/>
      <c r="C114" s="348"/>
      <c r="D114" s="348"/>
      <c r="E114" s="348"/>
      <c r="F114" s="348"/>
      <c r="G114" s="348"/>
      <c r="H114" s="348"/>
      <c r="I114" s="349" t="s">
        <v>258</v>
      </c>
      <c r="J114" s="1199">
        <f>+J112+K112</f>
        <v>0</v>
      </c>
      <c r="K114" s="1200"/>
      <c r="L114" s="259" t="s">
        <v>224</v>
      </c>
      <c r="M114" s="261">
        <f>(M112-J108)/(F110+1)</f>
        <v>0</v>
      </c>
    </row>
    <row r="115" spans="2:13" ht="14.25">
      <c r="B115" s="201"/>
      <c r="C115" s="55"/>
      <c r="D115" s="55"/>
      <c r="E115" s="55"/>
      <c r="F115" s="53"/>
      <c r="G115" s="53"/>
      <c r="H115" s="53"/>
      <c r="I115" s="202"/>
      <c r="J115" s="202"/>
      <c r="K115" s="202"/>
      <c r="L115" s="55"/>
      <c r="M115" s="55"/>
    </row>
    <row r="116" spans="2:13" ht="14.25" hidden="1">
      <c r="B116" s="201"/>
      <c r="C116" s="55"/>
      <c r="D116" s="55"/>
      <c r="E116" s="55"/>
      <c r="F116" s="53"/>
      <c r="G116" s="53"/>
      <c r="H116" s="53"/>
      <c r="I116" s="202"/>
      <c r="J116" s="202"/>
      <c r="K116" s="202"/>
      <c r="L116" s="202"/>
      <c r="M116" s="202"/>
    </row>
    <row r="117" spans="2:13" ht="14.25">
      <c r="B117" s="201"/>
      <c r="C117" s="55"/>
      <c r="D117" s="55"/>
      <c r="E117" s="55"/>
      <c r="F117" s="53"/>
      <c r="G117" s="53"/>
      <c r="H117" s="53"/>
      <c r="I117" s="202"/>
      <c r="J117" s="202"/>
      <c r="K117" s="202"/>
      <c r="L117" s="55"/>
      <c r="M117" s="55"/>
    </row>
    <row r="118" spans="2:13" ht="14.25">
      <c r="B118" s="201"/>
      <c r="C118" s="55"/>
      <c r="D118" s="55"/>
      <c r="E118" s="55"/>
      <c r="F118" s="55"/>
      <c r="G118" s="55"/>
      <c r="H118" s="202"/>
      <c r="I118" s="202"/>
      <c r="J118" s="202"/>
      <c r="K118" s="202"/>
      <c r="L118" s="55"/>
      <c r="M118" s="55"/>
    </row>
    <row r="119" spans="2:13" ht="14.25">
      <c r="B119" s="201"/>
      <c r="C119" s="55"/>
      <c r="D119" s="55"/>
      <c r="E119" s="55"/>
      <c r="F119" s="55"/>
      <c r="G119" s="55"/>
      <c r="H119" s="202"/>
      <c r="I119" s="202"/>
      <c r="J119" s="55"/>
      <c r="K119" s="55"/>
      <c r="L119" s="55"/>
      <c r="M119" s="55"/>
    </row>
    <row r="120" spans="2:13" ht="14.25" hidden="1">
      <c r="B120" s="201"/>
      <c r="C120" s="55"/>
      <c r="D120" s="55"/>
      <c r="E120" s="55"/>
      <c r="F120" s="55"/>
      <c r="G120" s="55"/>
      <c r="H120" s="202"/>
      <c r="I120" s="202"/>
      <c r="J120" s="202"/>
      <c r="K120" s="202"/>
      <c r="L120" s="55"/>
      <c r="M120" s="55"/>
    </row>
    <row r="121" spans="2:13" ht="14.25">
      <c r="B121" s="201"/>
      <c r="C121" s="55"/>
      <c r="D121" s="55"/>
      <c r="E121" s="55"/>
      <c r="F121" s="55"/>
      <c r="G121" s="55"/>
      <c r="H121" s="202"/>
      <c r="I121" s="202"/>
      <c r="J121" s="55"/>
      <c r="K121" s="55"/>
      <c r="L121" s="55"/>
      <c r="M121" s="55"/>
    </row>
    <row r="122" spans="2:13" ht="14.25">
      <c r="B122" s="201"/>
      <c r="C122" s="55"/>
      <c r="D122" s="55"/>
      <c r="E122" s="55"/>
      <c r="F122" s="202"/>
      <c r="G122" s="202"/>
      <c r="H122" s="202"/>
      <c r="I122" s="202"/>
      <c r="J122" s="202"/>
      <c r="K122" s="202"/>
      <c r="L122" s="55"/>
      <c r="M122" s="55"/>
    </row>
    <row r="123" spans="2:13" ht="14.25">
      <c r="B123" s="203"/>
      <c r="C123" s="55"/>
      <c r="D123" s="55"/>
      <c r="E123" s="55"/>
      <c r="F123" s="55"/>
      <c r="G123" s="55"/>
      <c r="H123" s="202"/>
      <c r="I123" s="202"/>
      <c r="J123" s="55"/>
      <c r="K123" s="55"/>
      <c r="L123" s="55"/>
      <c r="M123" s="55"/>
    </row>
    <row r="124" spans="2:13" ht="14.25">
      <c r="B124" s="203"/>
      <c r="C124" s="55"/>
      <c r="D124" s="55"/>
      <c r="E124" s="55"/>
      <c r="F124" s="55"/>
      <c r="G124" s="55"/>
      <c r="H124" s="202"/>
      <c r="I124" s="202"/>
      <c r="J124" s="202"/>
      <c r="K124" s="202"/>
      <c r="L124" s="55"/>
      <c r="M124" s="55"/>
    </row>
    <row r="125" spans="2:13" ht="14.25">
      <c r="B125" s="203"/>
      <c r="C125" s="55"/>
      <c r="D125" s="55"/>
      <c r="E125" s="55"/>
      <c r="F125" s="55"/>
      <c r="G125" s="55"/>
      <c r="H125" s="55"/>
      <c r="I125" s="55"/>
      <c r="J125" s="55"/>
      <c r="K125" s="55"/>
      <c r="L125" s="55"/>
      <c r="M125" s="55"/>
    </row>
    <row r="126" spans="2:13" ht="14.25">
      <c r="B126" s="203"/>
      <c r="C126" s="55"/>
      <c r="D126" s="55"/>
      <c r="E126" s="55"/>
      <c r="F126" s="55"/>
      <c r="G126" s="55"/>
      <c r="H126" s="55"/>
      <c r="I126" s="55"/>
      <c r="J126" s="55"/>
      <c r="K126" s="55"/>
      <c r="L126" s="55"/>
      <c r="M126" s="55"/>
    </row>
    <row r="127" spans="2:13" ht="14.25" hidden="1">
      <c r="B127" s="203"/>
      <c r="C127" s="55"/>
      <c r="D127" s="55"/>
      <c r="E127" s="55"/>
      <c r="F127" s="55"/>
      <c r="G127" s="55"/>
      <c r="H127" s="55"/>
      <c r="I127" s="55"/>
      <c r="J127" s="55"/>
      <c r="K127" s="55"/>
      <c r="L127" s="55"/>
      <c r="M127" s="55"/>
    </row>
    <row r="128" spans="2:13" ht="14.25">
      <c r="B128" s="203"/>
      <c r="C128" s="55"/>
      <c r="D128" s="55"/>
      <c r="E128" s="55"/>
      <c r="F128" s="55"/>
      <c r="G128" s="55"/>
      <c r="H128" s="55"/>
      <c r="I128" s="55"/>
      <c r="J128" s="55"/>
      <c r="K128" s="55"/>
      <c r="L128" s="55"/>
      <c r="M128" s="55"/>
    </row>
    <row r="129" spans="2:13" ht="14.25" hidden="1">
      <c r="B129" s="203"/>
      <c r="C129" s="55"/>
      <c r="D129" s="55"/>
      <c r="E129" s="55"/>
      <c r="F129" s="55"/>
      <c r="G129" s="55"/>
      <c r="H129" s="55"/>
      <c r="I129" s="55"/>
      <c r="J129" s="55"/>
      <c r="K129" s="55"/>
      <c r="L129" s="55"/>
      <c r="M129" s="55"/>
    </row>
    <row r="130" spans="2:13" ht="14.25">
      <c r="B130" s="203"/>
      <c r="C130" s="55"/>
      <c r="D130" s="55"/>
      <c r="E130" s="55"/>
      <c r="F130" s="55"/>
      <c r="G130" s="55"/>
      <c r="H130" s="55"/>
      <c r="I130" s="55"/>
      <c r="J130" s="55"/>
      <c r="K130" s="55"/>
      <c r="L130" s="55"/>
      <c r="M130" s="55"/>
    </row>
    <row r="131" spans="2:13" ht="14.25">
      <c r="B131" s="203"/>
      <c r="C131" s="55"/>
      <c r="D131" s="55"/>
      <c r="E131" s="55"/>
      <c r="F131" s="55"/>
      <c r="G131" s="55"/>
      <c r="H131" s="55"/>
      <c r="I131" s="55"/>
      <c r="J131" s="55"/>
      <c r="K131" s="55"/>
      <c r="L131" s="55"/>
      <c r="M131" s="55"/>
    </row>
    <row r="132" spans="2:13" ht="14.25">
      <c r="B132" s="203"/>
      <c r="C132" s="55"/>
      <c r="D132" s="55"/>
      <c r="E132" s="55"/>
      <c r="F132" s="55"/>
      <c r="G132" s="55"/>
      <c r="H132" s="55"/>
      <c r="I132" s="55"/>
      <c r="J132" s="55"/>
      <c r="K132" s="55"/>
      <c r="L132" s="55"/>
      <c r="M132" s="55"/>
    </row>
    <row r="133" spans="2:13" ht="14.25">
      <c r="B133" s="203"/>
      <c r="C133" s="55"/>
      <c r="D133" s="55"/>
      <c r="E133" s="55"/>
      <c r="F133" s="55"/>
      <c r="G133" s="55"/>
      <c r="H133" s="55"/>
      <c r="I133" s="55"/>
      <c r="J133" s="55"/>
      <c r="K133" s="55"/>
      <c r="L133" s="55"/>
      <c r="M133" s="55"/>
    </row>
    <row r="134" spans="2:13" ht="0" hidden="1" customHeight="1">
      <c r="B134" s="203"/>
      <c r="C134" s="55"/>
      <c r="D134" s="55"/>
      <c r="E134" s="55"/>
      <c r="F134" s="55"/>
      <c r="G134" s="55"/>
      <c r="H134" s="55"/>
      <c r="I134" s="55"/>
      <c r="J134" s="55"/>
      <c r="K134" s="55"/>
    </row>
    <row r="135" spans="2:13" ht="0" hidden="1" customHeight="1">
      <c r="B135" s="203"/>
      <c r="C135" s="55"/>
      <c r="D135" s="55"/>
      <c r="E135" s="55"/>
      <c r="F135" s="55"/>
      <c r="G135" s="55"/>
      <c r="H135" s="55"/>
      <c r="I135" s="55"/>
      <c r="J135" s="55"/>
      <c r="K135" s="55"/>
    </row>
    <row r="136" spans="2:13" ht="0" hidden="1" customHeight="1">
      <c r="B136" s="203"/>
      <c r="C136" s="55"/>
      <c r="D136" s="55"/>
      <c r="E136" s="55"/>
      <c r="F136" s="55"/>
      <c r="G136" s="55"/>
      <c r="H136" s="55"/>
      <c r="I136" s="55"/>
      <c r="J136" s="55"/>
      <c r="K136" s="55"/>
    </row>
    <row r="137" spans="2:13" ht="0" hidden="1" customHeight="1">
      <c r="B137" s="203"/>
      <c r="C137" s="55"/>
      <c r="D137" s="55"/>
      <c r="E137" s="55"/>
      <c r="F137" s="55"/>
      <c r="G137" s="55"/>
      <c r="H137" s="55"/>
      <c r="I137" s="55"/>
      <c r="J137" s="55"/>
      <c r="K137" s="55"/>
    </row>
    <row r="138" spans="2:13" ht="0" hidden="1" customHeight="1">
      <c r="B138" s="203"/>
      <c r="C138" s="55"/>
      <c r="D138" s="55"/>
      <c r="E138" s="55"/>
      <c r="F138" s="55"/>
      <c r="G138" s="55"/>
      <c r="H138" s="55"/>
      <c r="I138" s="55"/>
      <c r="J138" s="55"/>
      <c r="K138" s="55"/>
    </row>
    <row r="139" spans="2:13" ht="0" hidden="1" customHeight="1">
      <c r="B139" s="203"/>
      <c r="C139" s="55"/>
      <c r="D139" s="55"/>
      <c r="E139" s="55"/>
      <c r="F139" s="55"/>
      <c r="G139" s="55"/>
      <c r="H139" s="55"/>
      <c r="I139" s="55"/>
      <c r="J139" s="55"/>
      <c r="K139" s="55"/>
    </row>
    <row r="140" spans="2:13" ht="0" hidden="1" customHeight="1">
      <c r="B140" s="203"/>
      <c r="C140" s="55"/>
      <c r="D140" s="55"/>
      <c r="E140" s="55"/>
      <c r="F140" s="55"/>
      <c r="G140" s="55"/>
      <c r="H140" s="55"/>
      <c r="I140" s="55"/>
      <c r="J140" s="55"/>
      <c r="K140" s="55"/>
    </row>
    <row r="141" spans="2:13" ht="0" hidden="1" customHeight="1">
      <c r="B141" s="203"/>
      <c r="C141" s="55"/>
      <c r="D141" s="55"/>
      <c r="E141" s="55"/>
      <c r="F141" s="55"/>
      <c r="G141" s="55"/>
      <c r="H141" s="55"/>
      <c r="I141" s="55"/>
      <c r="J141" s="55"/>
      <c r="K141" s="55"/>
    </row>
  </sheetData>
  <protectedRanges>
    <protectedRange sqref="D68:D71" name="Range1"/>
    <protectedRange sqref="I68:I71" name="Range1_5_1"/>
    <protectedRange sqref="I72" name="Range1_6_1"/>
    <protectedRange sqref="B36:C42 D40" name="Range1_2"/>
    <protectedRange sqref="B26:C27 B30:C31" name="Range1_3"/>
  </protectedRanges>
  <mergeCells count="204">
    <mergeCell ref="B105:J105"/>
    <mergeCell ref="B69:C69"/>
    <mergeCell ref="B70:C70"/>
    <mergeCell ref="B71:C71"/>
    <mergeCell ref="B92:C92"/>
    <mergeCell ref="B93:C93"/>
    <mergeCell ref="B94:C94"/>
    <mergeCell ref="B95:C95"/>
    <mergeCell ref="B96:C96"/>
    <mergeCell ref="B97:C97"/>
    <mergeCell ref="F80:I80"/>
    <mergeCell ref="F81:I81"/>
    <mergeCell ref="F82:I82"/>
    <mergeCell ref="F83:I83"/>
    <mergeCell ref="F84:I84"/>
    <mergeCell ref="F85:I85"/>
    <mergeCell ref="F95:I95"/>
    <mergeCell ref="F96:I96"/>
    <mergeCell ref="F97:I97"/>
    <mergeCell ref="B84:C84"/>
    <mergeCell ref="D101:E101"/>
    <mergeCell ref="D102:E102"/>
    <mergeCell ref="F74:J74"/>
    <mergeCell ref="D103:E103"/>
    <mergeCell ref="B109:J109"/>
    <mergeCell ref="F98:I98"/>
    <mergeCell ref="F99:I99"/>
    <mergeCell ref="B99:C99"/>
    <mergeCell ref="B100:C100"/>
    <mergeCell ref="B104:I104"/>
    <mergeCell ref="B78:J78"/>
    <mergeCell ref="F75:I75"/>
    <mergeCell ref="B75:C75"/>
    <mergeCell ref="B76:C76"/>
    <mergeCell ref="F102:I102"/>
    <mergeCell ref="B102:C102"/>
    <mergeCell ref="F76:I76"/>
    <mergeCell ref="B77:I77"/>
    <mergeCell ref="B80:C80"/>
    <mergeCell ref="B81:C81"/>
    <mergeCell ref="B82:C82"/>
    <mergeCell ref="B83:C83"/>
    <mergeCell ref="B86:C86"/>
    <mergeCell ref="B87:C87"/>
    <mergeCell ref="B88:C88"/>
    <mergeCell ref="B89:C89"/>
    <mergeCell ref="B90:C90"/>
    <mergeCell ref="B91:C91"/>
    <mergeCell ref="J114:K114"/>
    <mergeCell ref="F64:I64"/>
    <mergeCell ref="F61:I61"/>
    <mergeCell ref="F62:I62"/>
    <mergeCell ref="F79:J79"/>
    <mergeCell ref="B65:I65"/>
    <mergeCell ref="F101:I101"/>
    <mergeCell ref="F103:I103"/>
    <mergeCell ref="B98:C98"/>
    <mergeCell ref="B101:C101"/>
    <mergeCell ref="B112:I112"/>
    <mergeCell ref="B110:E110"/>
    <mergeCell ref="B106:I106"/>
    <mergeCell ref="B79:E79"/>
    <mergeCell ref="F67:J67"/>
    <mergeCell ref="B68:C68"/>
    <mergeCell ref="B111:J111"/>
    <mergeCell ref="B113:J113"/>
    <mergeCell ref="B108:I108"/>
    <mergeCell ref="B107:J107"/>
    <mergeCell ref="B73:J73"/>
    <mergeCell ref="F68:H68"/>
    <mergeCell ref="F69:H69"/>
    <mergeCell ref="B103:C103"/>
    <mergeCell ref="K34:M34"/>
    <mergeCell ref="F51:I51"/>
    <mergeCell ref="B38:C38"/>
    <mergeCell ref="B39:C39"/>
    <mergeCell ref="D68:E68"/>
    <mergeCell ref="D69:E69"/>
    <mergeCell ref="B26:C26"/>
    <mergeCell ref="B27:C27"/>
    <mergeCell ref="B29:C29"/>
    <mergeCell ref="B30:C30"/>
    <mergeCell ref="B31:C31"/>
    <mergeCell ref="B35:C35"/>
    <mergeCell ref="B36:C36"/>
    <mergeCell ref="B37:C37"/>
    <mergeCell ref="B40:C40"/>
    <mergeCell ref="B41:C41"/>
    <mergeCell ref="B42:C42"/>
    <mergeCell ref="B52:C52"/>
    <mergeCell ref="F52:I52"/>
    <mergeCell ref="B50:C50"/>
    <mergeCell ref="B51:C51"/>
    <mergeCell ref="B49:E49"/>
    <mergeCell ref="F49:J49"/>
    <mergeCell ref="F50:I50"/>
    <mergeCell ref="F55:J55"/>
    <mergeCell ref="B43:G43"/>
    <mergeCell ref="B58:I58"/>
    <mergeCell ref="B74:E74"/>
    <mergeCell ref="B45:G45"/>
    <mergeCell ref="F56:I56"/>
    <mergeCell ref="B47:M47"/>
    <mergeCell ref="B56:C56"/>
    <mergeCell ref="B57:C57"/>
    <mergeCell ref="F57:I57"/>
    <mergeCell ref="B48:J48"/>
    <mergeCell ref="B59:J59"/>
    <mergeCell ref="B44:J44"/>
    <mergeCell ref="D50:E50"/>
    <mergeCell ref="D51:E51"/>
    <mergeCell ref="D52:E52"/>
    <mergeCell ref="D62:E62"/>
    <mergeCell ref="D63:E63"/>
    <mergeCell ref="D64:E64"/>
    <mergeCell ref="D56:E56"/>
    <mergeCell ref="D57:E57"/>
    <mergeCell ref="F70:H70"/>
    <mergeCell ref="F71:H71"/>
    <mergeCell ref="B72:H72"/>
    <mergeCell ref="J2:M3"/>
    <mergeCell ref="C4:G4"/>
    <mergeCell ref="F2:F3"/>
    <mergeCell ref="G2:H3"/>
    <mergeCell ref="I2:I3"/>
    <mergeCell ref="I4:M4"/>
    <mergeCell ref="B6:M6"/>
    <mergeCell ref="B23:J23"/>
    <mergeCell ref="B28:M28"/>
    <mergeCell ref="B8:J8"/>
    <mergeCell ref="B24:J24"/>
    <mergeCell ref="K24:M24"/>
    <mergeCell ref="K8:M8"/>
    <mergeCell ref="B22:G22"/>
    <mergeCell ref="B7:J7"/>
    <mergeCell ref="B25:C25"/>
    <mergeCell ref="D25:E25"/>
    <mergeCell ref="D26:E26"/>
    <mergeCell ref="D27:E27"/>
    <mergeCell ref="D2:E3"/>
    <mergeCell ref="F100:I100"/>
    <mergeCell ref="D98:E98"/>
    <mergeCell ref="D99:E99"/>
    <mergeCell ref="D100:E100"/>
    <mergeCell ref="D95:E95"/>
    <mergeCell ref="D80:E80"/>
    <mergeCell ref="D81:E81"/>
    <mergeCell ref="D82:E82"/>
    <mergeCell ref="D83:E83"/>
    <mergeCell ref="D84:E84"/>
    <mergeCell ref="D85:E85"/>
    <mergeCell ref="D86:E86"/>
    <mergeCell ref="D87:E87"/>
    <mergeCell ref="D88:E88"/>
    <mergeCell ref="D89:E89"/>
    <mergeCell ref="D90:E90"/>
    <mergeCell ref="D91:E91"/>
    <mergeCell ref="D92:E92"/>
    <mergeCell ref="D96:E96"/>
    <mergeCell ref="D97:E97"/>
    <mergeCell ref="F86:I86"/>
    <mergeCell ref="F87:I87"/>
    <mergeCell ref="F88:I88"/>
    <mergeCell ref="F89:I89"/>
    <mergeCell ref="F60:J60"/>
    <mergeCell ref="B60:E60"/>
    <mergeCell ref="B63:C63"/>
    <mergeCell ref="B64:C64"/>
    <mergeCell ref="B61:C61"/>
    <mergeCell ref="D61:E61"/>
    <mergeCell ref="B85:C85"/>
    <mergeCell ref="D93:E93"/>
    <mergeCell ref="D94:E94"/>
    <mergeCell ref="D75:E75"/>
    <mergeCell ref="D76:E76"/>
    <mergeCell ref="F90:I90"/>
    <mergeCell ref="F91:I91"/>
    <mergeCell ref="F92:I92"/>
    <mergeCell ref="F93:I93"/>
    <mergeCell ref="F94:I94"/>
    <mergeCell ref="D29:E29"/>
    <mergeCell ref="D30:E30"/>
    <mergeCell ref="D31:E31"/>
    <mergeCell ref="B32:G32"/>
    <mergeCell ref="B33:J33"/>
    <mergeCell ref="B34:J34"/>
    <mergeCell ref="H40:H42"/>
    <mergeCell ref="D70:E70"/>
    <mergeCell ref="D71:E71"/>
    <mergeCell ref="B55:E55"/>
    <mergeCell ref="D35:E35"/>
    <mergeCell ref="D36:E36"/>
    <mergeCell ref="D37:E37"/>
    <mergeCell ref="D38:E38"/>
    <mergeCell ref="D39:E39"/>
    <mergeCell ref="D40:E40"/>
    <mergeCell ref="D41:E41"/>
    <mergeCell ref="D42:E42"/>
    <mergeCell ref="B67:E67"/>
    <mergeCell ref="B53:I53"/>
    <mergeCell ref="B66:J66"/>
    <mergeCell ref="B54:J54"/>
    <mergeCell ref="B62:C62"/>
    <mergeCell ref="F63:I6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44AD5-5567-4F37-9993-C8F5EAD9145C}">
  <sheetPr codeName="Sheet8"/>
  <dimension ref="A1:AV391"/>
  <sheetViews>
    <sheetView workbookViewId="0">
      <pane xSplit="3" ySplit="3" topLeftCell="G10" activePane="bottomRight" state="frozen"/>
      <selection pane="bottomRight" activeCell="G10" sqref="G10"/>
      <selection pane="bottomLeft" activeCell="E2" sqref="E2:E3"/>
      <selection pane="topRight" activeCell="E2" sqref="E2:E3"/>
    </sheetView>
  </sheetViews>
  <sheetFormatPr defaultColWidth="9.140625" defaultRowHeight="14.25"/>
  <cols>
    <col min="1" max="1" width="17" style="23" customWidth="1"/>
    <col min="2" max="2" width="16.28515625" style="23" customWidth="1"/>
    <col min="3" max="3" width="53.42578125" style="158" customWidth="1"/>
    <col min="4" max="4" width="1.7109375" style="23" customWidth="1"/>
    <col min="5" max="6" width="6.7109375" style="23" customWidth="1"/>
    <col min="7" max="12" width="13.28515625" style="23" customWidth="1"/>
    <col min="13" max="13" width="1.7109375" style="23" customWidth="1"/>
    <col min="14" max="15" width="9.140625" style="23"/>
    <col min="16" max="21" width="13.28515625" style="23" customWidth="1"/>
    <col min="22" max="22" width="1.7109375" style="23" customWidth="1"/>
    <col min="23" max="24" width="9.140625" style="23"/>
    <col min="25" max="30" width="13.28515625" style="23" customWidth="1"/>
    <col min="31" max="31" width="1.7109375" style="23" customWidth="1"/>
    <col min="32" max="33" width="9.140625" style="23"/>
    <col min="34" max="39" width="13.28515625" style="23" customWidth="1"/>
    <col min="40" max="40" width="1.7109375" style="23" customWidth="1"/>
    <col min="41" max="42" width="9.140625" style="23"/>
    <col min="43" max="48" width="13.28515625" style="23" customWidth="1"/>
    <col min="49" max="16384" width="9.140625" style="23"/>
  </cols>
  <sheetData>
    <row r="1" spans="1:48" ht="8.25" customHeight="1" thickBot="1"/>
    <row r="2" spans="1:48" ht="15" customHeight="1">
      <c r="A2" s="1301" t="s">
        <v>134</v>
      </c>
      <c r="B2" s="1302"/>
      <c r="C2" s="1303"/>
      <c r="D2" s="189"/>
      <c r="E2" s="1278" t="s">
        <v>259</v>
      </c>
      <c r="F2" s="1279"/>
      <c r="G2" s="1279"/>
      <c r="H2" s="1279"/>
      <c r="I2" s="1279"/>
      <c r="J2" s="1279"/>
      <c r="K2" s="1279"/>
      <c r="L2" s="1280"/>
      <c r="M2" s="1298"/>
      <c r="N2" s="1278" t="s">
        <v>260</v>
      </c>
      <c r="O2" s="1279"/>
      <c r="P2" s="1279"/>
      <c r="Q2" s="1279"/>
      <c r="R2" s="1279"/>
      <c r="S2" s="1279"/>
      <c r="T2" s="1279"/>
      <c r="U2" s="1280"/>
      <c r="V2" s="1226"/>
      <c r="W2" s="1278" t="s">
        <v>261</v>
      </c>
      <c r="X2" s="1279"/>
      <c r="Y2" s="1279"/>
      <c r="Z2" s="1279"/>
      <c r="AA2" s="1279"/>
      <c r="AB2" s="1279"/>
      <c r="AC2" s="1279"/>
      <c r="AD2" s="1280"/>
      <c r="AE2" s="1226"/>
      <c r="AF2" s="1278" t="s">
        <v>262</v>
      </c>
      <c r="AG2" s="1279"/>
      <c r="AH2" s="1279"/>
      <c r="AI2" s="1279"/>
      <c r="AJ2" s="1279"/>
      <c r="AK2" s="1279"/>
      <c r="AL2" s="1279"/>
      <c r="AM2" s="1280"/>
      <c r="AN2" s="1226"/>
      <c r="AO2" s="1278" t="s">
        <v>263</v>
      </c>
      <c r="AP2" s="1279"/>
      <c r="AQ2" s="1279"/>
      <c r="AR2" s="1279"/>
      <c r="AS2" s="1279"/>
      <c r="AT2" s="1279"/>
      <c r="AU2" s="1279"/>
      <c r="AV2" s="1280"/>
    </row>
    <row r="3" spans="1:48" ht="15" customHeight="1" thickBot="1">
      <c r="A3" s="1304"/>
      <c r="B3" s="1305"/>
      <c r="C3" s="1306"/>
      <c r="D3" s="331"/>
      <c r="E3" s="1281"/>
      <c r="F3" s="1282"/>
      <c r="G3" s="1282"/>
      <c r="H3" s="1282"/>
      <c r="I3" s="1282"/>
      <c r="J3" s="1282"/>
      <c r="K3" s="1282"/>
      <c r="L3" s="1283"/>
      <c r="M3" s="1299"/>
      <c r="N3" s="1281"/>
      <c r="O3" s="1282"/>
      <c r="P3" s="1282"/>
      <c r="Q3" s="1282"/>
      <c r="R3" s="1282"/>
      <c r="S3" s="1282"/>
      <c r="T3" s="1282"/>
      <c r="U3" s="1283"/>
      <c r="V3" s="1227"/>
      <c r="W3" s="1281"/>
      <c r="X3" s="1282"/>
      <c r="Y3" s="1282"/>
      <c r="Z3" s="1282"/>
      <c r="AA3" s="1282"/>
      <c r="AB3" s="1282"/>
      <c r="AC3" s="1282"/>
      <c r="AD3" s="1283"/>
      <c r="AE3" s="1227"/>
      <c r="AF3" s="1281"/>
      <c r="AG3" s="1282"/>
      <c r="AH3" s="1282"/>
      <c r="AI3" s="1282"/>
      <c r="AJ3" s="1282"/>
      <c r="AK3" s="1282"/>
      <c r="AL3" s="1282"/>
      <c r="AM3" s="1283"/>
      <c r="AN3" s="1227"/>
      <c r="AO3" s="1281"/>
      <c r="AP3" s="1282"/>
      <c r="AQ3" s="1282"/>
      <c r="AR3" s="1282"/>
      <c r="AS3" s="1282"/>
      <c r="AT3" s="1282"/>
      <c r="AU3" s="1282"/>
      <c r="AV3" s="1283"/>
    </row>
    <row r="4" spans="1:48" ht="15" customHeight="1">
      <c r="A4" s="1307" t="s">
        <v>131</v>
      </c>
      <c r="B4" s="1307"/>
      <c r="C4" s="1308"/>
      <c r="D4" s="331"/>
      <c r="E4" s="1291"/>
      <c r="F4" s="1292"/>
      <c r="G4" s="1292"/>
      <c r="H4" s="1292"/>
      <c r="I4" s="1292"/>
      <c r="J4" s="1292"/>
      <c r="K4" s="1292"/>
      <c r="L4" s="1293"/>
      <c r="M4" s="1299"/>
      <c r="N4" s="1291"/>
      <c r="O4" s="1292"/>
      <c r="P4" s="1292"/>
      <c r="Q4" s="1292"/>
      <c r="R4" s="1292"/>
      <c r="S4" s="1292"/>
      <c r="T4" s="1292"/>
      <c r="U4" s="1293"/>
      <c r="V4" s="1227"/>
      <c r="W4" s="1291"/>
      <c r="X4" s="1292"/>
      <c r="Y4" s="1292"/>
      <c r="Z4" s="1292"/>
      <c r="AA4" s="1292"/>
      <c r="AB4" s="1292"/>
      <c r="AC4" s="1292"/>
      <c r="AD4" s="1293"/>
      <c r="AE4" s="1227"/>
      <c r="AF4" s="1288"/>
      <c r="AG4" s="1289"/>
      <c r="AH4" s="1289"/>
      <c r="AI4" s="1289"/>
      <c r="AJ4" s="1289"/>
      <c r="AK4" s="1289"/>
      <c r="AL4" s="1289"/>
      <c r="AM4" s="1290"/>
      <c r="AN4" s="1227"/>
      <c r="AO4" s="1291"/>
      <c r="AP4" s="1292"/>
      <c r="AQ4" s="1292"/>
      <c r="AR4" s="1292"/>
      <c r="AS4" s="1292"/>
      <c r="AT4" s="1292"/>
      <c r="AU4" s="1292"/>
      <c r="AV4" s="1293"/>
    </row>
    <row r="5" spans="1:48" s="159" customFormat="1" ht="28.5" customHeight="1">
      <c r="A5" s="511" t="s">
        <v>248</v>
      </c>
      <c r="B5" s="512" t="s">
        <v>228</v>
      </c>
      <c r="C5" s="191" t="s">
        <v>159</v>
      </c>
      <c r="D5" s="331"/>
      <c r="E5" s="1256" t="s">
        <v>140</v>
      </c>
      <c r="F5" s="1257"/>
      <c r="G5" s="245" t="s">
        <v>141</v>
      </c>
      <c r="H5" s="245" t="s">
        <v>142</v>
      </c>
      <c r="I5" s="245" t="s">
        <v>143</v>
      </c>
      <c r="J5" s="245" t="s">
        <v>144</v>
      </c>
      <c r="K5" s="245" t="s">
        <v>145</v>
      </c>
      <c r="L5" s="246" t="s">
        <v>146</v>
      </c>
      <c r="M5" s="1299"/>
      <c r="N5" s="1256" t="s">
        <v>140</v>
      </c>
      <c r="O5" s="1257"/>
      <c r="P5" s="245" t="s">
        <v>141</v>
      </c>
      <c r="Q5" s="245" t="s">
        <v>142</v>
      </c>
      <c r="R5" s="245" t="s">
        <v>143</v>
      </c>
      <c r="S5" s="245" t="s">
        <v>144</v>
      </c>
      <c r="T5" s="245" t="s">
        <v>145</v>
      </c>
      <c r="U5" s="246" t="s">
        <v>146</v>
      </c>
      <c r="V5" s="1227"/>
      <c r="W5" s="1256" t="s">
        <v>140</v>
      </c>
      <c r="X5" s="1257"/>
      <c r="Y5" s="245" t="s">
        <v>141</v>
      </c>
      <c r="Z5" s="245" t="s">
        <v>142</v>
      </c>
      <c r="AA5" s="245" t="s">
        <v>143</v>
      </c>
      <c r="AB5" s="245" t="s">
        <v>144</v>
      </c>
      <c r="AC5" s="245" t="s">
        <v>145</v>
      </c>
      <c r="AD5" s="246" t="s">
        <v>146</v>
      </c>
      <c r="AE5" s="1227"/>
      <c r="AF5" s="1262" t="s">
        <v>140</v>
      </c>
      <c r="AG5" s="1263"/>
      <c r="AH5" s="245" t="s">
        <v>141</v>
      </c>
      <c r="AI5" s="245" t="s">
        <v>142</v>
      </c>
      <c r="AJ5" s="245" t="s">
        <v>143</v>
      </c>
      <c r="AK5" s="245" t="s">
        <v>144</v>
      </c>
      <c r="AL5" s="245" t="s">
        <v>145</v>
      </c>
      <c r="AM5" s="246" t="s">
        <v>146</v>
      </c>
      <c r="AN5" s="1227"/>
      <c r="AO5" s="1256" t="s">
        <v>140</v>
      </c>
      <c r="AP5" s="1257"/>
      <c r="AQ5" s="245" t="s">
        <v>141</v>
      </c>
      <c r="AR5" s="245" t="s">
        <v>142</v>
      </c>
      <c r="AS5" s="245" t="s">
        <v>143</v>
      </c>
      <c r="AT5" s="245" t="s">
        <v>144</v>
      </c>
      <c r="AU5" s="245" t="s">
        <v>145</v>
      </c>
      <c r="AV5" s="246" t="s">
        <v>146</v>
      </c>
    </row>
    <row r="6" spans="1:48" ht="15" customHeight="1">
      <c r="A6" s="417" t="str">
        <f>IF(ISBLANK('Bdgt Yr 1'!B12),"",'Bdgt Yr 1'!B12)</f>
        <v/>
      </c>
      <c r="B6" s="417" t="str">
        <f>IF(ISBLANK('Bdgt Yr 1'!C12),"",'Bdgt Yr 1'!C12)</f>
        <v/>
      </c>
      <c r="C6" s="193" t="str">
        <f>T('Bdgt Yr 1'!E12)</f>
        <v/>
      </c>
      <c r="D6" s="331"/>
      <c r="E6" s="1258">
        <v>0</v>
      </c>
      <c r="F6" s="1259"/>
      <c r="G6" s="326">
        <f>IF(ISBLANK('Bdgt Yr 1'!$B$12),0,(E6/'Bdgt Yr 1'!$B$12))</f>
        <v>0</v>
      </c>
      <c r="H6" s="80">
        <v>0</v>
      </c>
      <c r="I6" s="24">
        <f>'Bdgt Yr 1'!J12</f>
        <v>0</v>
      </c>
      <c r="J6" s="506">
        <f>ROUNDUP(IF(ISBLANK('Bdgt Yr 1'!$B$12),0,(I6*G6)+(I6/'Bdgt Yr 1'!$B$12)*H6),0)</f>
        <v>0</v>
      </c>
      <c r="K6" s="1583" cm="1">
        <f t="array" ref="K6">ROUNDUP(_xlfn.IFS(ISBLANK('Bdgt Yr 1'!$B$12),0,OR($B$6="ORP",J6=0),(I6*G6*Constants!$N$14)+(Constants!$N$15*G6)+(I6/'Bdgt Yr 1'!$B$12*H6*Constants!$N$14),OR($B$6="TSERS",J6=0),(I6*G6*Constants!$N$7)+(Constants!$N$8*G6)+(I6/'Bdgt Yr 1'!$B$12*H6*Constants!$N$7),OR($B$6="Law Enforcement",J6=0),(I6*G6*Constants!$N$28)+(Constants!$N$29*G6)+(I6/'Bdgt Yr 1'!B12*H6*Constants!$N$28)),0)</f>
        <v>0</v>
      </c>
      <c r="L6" s="135">
        <f>(+J6+K6)</f>
        <v>0</v>
      </c>
      <c r="M6" s="1299"/>
      <c r="N6" s="1258">
        <v>0</v>
      </c>
      <c r="O6" s="1259"/>
      <c r="P6" s="326">
        <f>IF(ISBLANK('Bdgt Yr 1'!$B$12),0,(N6/'Bdgt Yr 1'!$B$12))</f>
        <v>0</v>
      </c>
      <c r="Q6" s="80">
        <v>0</v>
      </c>
      <c r="R6" s="24">
        <f>I6*(1+'Budget Summary'!$G$35)</f>
        <v>0</v>
      </c>
      <c r="S6" s="506">
        <f>ROUNDUP(IF(ISBLANK('Bdgt Yr 1'!$B$12),0,(R6*P6)+(R6/'Bdgt Yr 1'!$B$12)*Q6),0)</f>
        <v>0</v>
      </c>
      <c r="T6" s="1583" cm="1">
        <f t="array" ref="T6">ROUNDUP(_xlfn.IFS(ISBLANK('Bdgt Yr 1'!$B$12),0,OR($B$6="ORP",S6=0),(R6*P6*Constants!$N$14)+(Constants!$N$15*P6)+(R6/'Bdgt Yr 1'!$B$12*Q6*Constants!$N$14),OR($B$6="TSERS",S6=0),(R6*P6*Constants!$N$7)+(Constants!$N$8*P6)+(R6/'Bdgt Yr 1'!$B$12*Q6*Constants!$N$7),OR($B$6="Law Enforcement",S6=0),(R6*P6*Constants!$N$28)+(Constants!$N$29*P6)+(R6/'Bdgt Yr 1'!K12*Q6*Constants!$N$28)),0)</f>
        <v>0</v>
      </c>
      <c r="U6" s="135">
        <f>(+S6+T6)</f>
        <v>0</v>
      </c>
      <c r="V6" s="1227"/>
      <c r="W6" s="1258">
        <v>0</v>
      </c>
      <c r="X6" s="1259"/>
      <c r="Y6" s="326">
        <f>IF(ISBLANK('Bdgt Yr 1'!$B$12),0,(W6/'Bdgt Yr 1'!$B$12))</f>
        <v>0</v>
      </c>
      <c r="Z6" s="80">
        <v>0</v>
      </c>
      <c r="AA6" s="24">
        <f>R6*(1+'Budget Summary'!$G$35)</f>
        <v>0</v>
      </c>
      <c r="AB6" s="506">
        <f>ROUNDUP(IF(ISBLANK('Bdgt Yr 1'!$B$12),0,(AA6*Y6)+(AA6/'Bdgt Yr 1'!$B$12)*Z6),0)</f>
        <v>0</v>
      </c>
      <c r="AC6" s="1583" cm="1">
        <f t="array" ref="AC6">ROUNDUP(_xlfn.IFS(ISBLANK('Bdgt Yr 1'!$B$12),0,OR($B$6="ORP",AB6=0),(AA6*Y6*Constants!$N$14)+(Constants!$N$15*Y6)+(AA6/'Bdgt Yr 1'!$B$12*Z6*Constants!$N$14),OR($B$6="TSERS",AB6=0),(AA6*Y6*Constants!$N$7)+(Constants!$N$8*Y6)+(AA6/'Bdgt Yr 1'!$B$12*Z6*Constants!$N$7),OR($B$6="Law Enforcement",AB6=0),(AA6*Y6*Constants!$N$28)+(Constants!$N$29*Y6)+(AA6/'Bdgt Yr 1'!T12*Z6*Constants!$N$28)),0)</f>
        <v>0</v>
      </c>
      <c r="AD6" s="135">
        <f>(+AB6+AC6)</f>
        <v>0</v>
      </c>
      <c r="AE6" s="1227"/>
      <c r="AF6" s="1258">
        <v>0</v>
      </c>
      <c r="AG6" s="1259"/>
      <c r="AH6" s="326">
        <f>IF(ISBLANK('Bdgt Yr 1'!$B$12),0,(AF6/'Bdgt Yr 1'!$B$12))</f>
        <v>0</v>
      </c>
      <c r="AI6" s="80">
        <v>0</v>
      </c>
      <c r="AJ6" s="24">
        <f>AA6*(1+'Budget Summary'!$G$35)</f>
        <v>0</v>
      </c>
      <c r="AK6" s="506">
        <f>ROUNDUP(IF(ISBLANK('Bdgt Yr 1'!$B$12),0,(AJ6*AH6)+(AJ6/'Bdgt Yr 1'!$B$12)*AI6),0)</f>
        <v>0</v>
      </c>
      <c r="AL6" s="1583" cm="1">
        <f t="array" ref="AL6">ROUNDUP(_xlfn.IFS(ISBLANK('Bdgt Yr 1'!$B$12),0,OR($B$6="ORP",AK6=0),(AJ6*AH6*Constants!$N$14)+(Constants!$N$15*AH6)+(AJ6/'Bdgt Yr 1'!$B$12*AI6*Constants!$N$14),OR($B$6="TSERS",AK6=0),(AJ6*AH6*Constants!$N$7)+(Constants!$N$8*AH6)+(AJ6/'Bdgt Yr 1'!$B$12*AI6*Constants!$N$7),OR($B$6="Law Enforcement",AK6=0),(AJ6*AH6*Constants!$N$28)+(Constants!$N$29*AH6)+(AJ6/'Bdgt Yr 1'!AC12*AI6*Constants!$N$28)),0)</f>
        <v>0</v>
      </c>
      <c r="AM6" s="135">
        <f>(+AK6+AL6)</f>
        <v>0</v>
      </c>
      <c r="AN6" s="1227"/>
      <c r="AO6" s="1258">
        <v>0</v>
      </c>
      <c r="AP6" s="1259"/>
      <c r="AQ6" s="326">
        <f>IF(ISBLANK('Bdgt Yr 1'!$B$12),0,(AO6/'Bdgt Yr 1'!$B$12))</f>
        <v>0</v>
      </c>
      <c r="AR6" s="80">
        <v>0</v>
      </c>
      <c r="AS6" s="24">
        <f>AJ6*(1+'Budget Summary'!$G$35)</f>
        <v>0</v>
      </c>
      <c r="AT6" s="506">
        <f>ROUNDUP(IF(ISBLANK('Bdgt Yr 1'!$B$12),0,(AS6*AQ6)+(AS6/'Bdgt Yr 1'!$B$12)*AR6),0)</f>
        <v>0</v>
      </c>
      <c r="AU6" s="1583" cm="1">
        <f t="array" ref="AU6">ROUNDUP(_xlfn.IFS(ISBLANK('Bdgt Yr 1'!$B$12),0,OR($B$6="ORP",AT6=0),(AS6*AQ6*Constants!$N$14)+(Constants!$N$15*AQ6)+(AS6/'Bdgt Yr 1'!$B$12*AR6*Constants!$N$14),OR($B$6="TSERS",AT6=0),(AS6*AQ6*Constants!$N$7)+(Constants!$N$8*AQ6)+(AS6/'Bdgt Yr 1'!$B$12*AR6*Constants!$N$7),OR($B$6="Law Enforcement",AT6=0),(AS6*AQ6*Constants!$N$28)+(Constants!$N$29*AQ6)+(AS6/'Bdgt Yr 1'!AL12*AR6*Constants!$N$28)),0)</f>
        <v>0</v>
      </c>
      <c r="AV6" s="135">
        <f>(+AT6+AU6)</f>
        <v>0</v>
      </c>
    </row>
    <row r="7" spans="1:48" ht="15" customHeight="1">
      <c r="A7" s="417" t="str">
        <f>IF(ISBLANK('Bdgt Yr 1'!B13),"",'Bdgt Yr 1'!B13)</f>
        <v/>
      </c>
      <c r="B7" s="417" t="str">
        <f>IF(ISBLANK('Bdgt Yr 1'!C13),"",'Bdgt Yr 1'!C13)</f>
        <v/>
      </c>
      <c r="C7" s="193" t="str">
        <f>T('Bdgt Yr 1'!E13)</f>
        <v/>
      </c>
      <c r="D7" s="331"/>
      <c r="E7" s="1260">
        <v>0</v>
      </c>
      <c r="F7" s="1261"/>
      <c r="G7" s="326">
        <f>IF(ISBLANK('Bdgt Yr 1'!$B$13),0,(E7/'Bdgt Yr 1'!$B$13))</f>
        <v>0</v>
      </c>
      <c r="H7" s="29">
        <v>0</v>
      </c>
      <c r="I7" s="24">
        <f>'Bdgt Yr 1'!J13</f>
        <v>0</v>
      </c>
      <c r="J7" s="506">
        <f>ROUNDUP(IF(ISBLANK('Bdgt Yr 1'!$B$12),0,(I7*G7)+(I7/'Bdgt Yr 1'!$B$12)*H7),0)</f>
        <v>0</v>
      </c>
      <c r="K7" s="1583" cm="1">
        <f t="array" ref="K7">ROUNDUP(_xlfn.IFS(ISBLANK('Bdgt Yr 1'!$B$13),0,OR($B$7="ORP",J7=0),(I7*G7*Constants!$N$14)+(Constants!$N$15*G7)+(I7/'Bdgt Yr 1'!$B$13*H7*Constants!$N$14),OR($B$7="TSERS",J7=0),(I7*G7*Constants!$N$7)+(Constants!$N$8*G7)+(I7/'Bdgt Yr 1'!$B$13*H7*Constants!$N$7),OR($B$7="Law Enforcement",J7=0),(I7*G7*Constants!$N$28)+(Constants!$N$29*G7)+(I7/'Bdgt Yr 1'!$B$13*H7*Constants!$N$28)),0)</f>
        <v>0</v>
      </c>
      <c r="L7" s="136">
        <f t="shared" ref="L7:L12" si="0">(+J7+K7)</f>
        <v>0</v>
      </c>
      <c r="M7" s="1299"/>
      <c r="N7" s="1260">
        <v>0</v>
      </c>
      <c r="O7" s="1261"/>
      <c r="P7" s="326">
        <f>IF(ISBLANK('Bdgt Yr 1'!$B$13),0,(N7/'Bdgt Yr 1'!$B$13))</f>
        <v>0</v>
      </c>
      <c r="Q7" s="29">
        <v>0</v>
      </c>
      <c r="R7" s="24">
        <f>I7*(1+'Budget Summary'!$G$35)</f>
        <v>0</v>
      </c>
      <c r="S7" s="506">
        <f>ROUNDUP(IF(ISBLANK('Bdgt Yr 1'!$B$12),0,(R7*P7)+(R7/'Bdgt Yr 1'!$B$12)*Q7),0)</f>
        <v>0</v>
      </c>
      <c r="T7" s="1583" cm="1">
        <f t="array" ref="T7">ROUNDUP(_xlfn.IFS(ISBLANK('Bdgt Yr 1'!$B$13),0,OR($B$7="ORP",S7=0),(R7*P7*Constants!$N$14)+(Constants!$N$15*P7)+(R7/'Bdgt Yr 1'!$B$13*Q7*Constants!$N$14),OR($B$7="TSERS",S7=0),(R7*P7*Constants!$N$7)+(Constants!$N$8*P7)+(R7/'Bdgt Yr 1'!$B$13*Q7*Constants!$N$7),OR($B$7="Law Enforcement",S7=0),(R7*P7*Constants!$N$28)+(Constants!$N$29*P7)+(R7/'Bdgt Yr 1'!$B$13*Q7*Constants!$N$28)),0)</f>
        <v>0</v>
      </c>
      <c r="U7" s="136">
        <f t="shared" ref="U7:U12" si="1">(+S7+T7)</f>
        <v>0</v>
      </c>
      <c r="V7" s="1227"/>
      <c r="W7" s="1260">
        <v>0</v>
      </c>
      <c r="X7" s="1261"/>
      <c r="Y7" s="326">
        <f>IF(ISBLANK('Bdgt Yr 1'!$B$13),0,(W7/'Bdgt Yr 1'!$B$13))</f>
        <v>0</v>
      </c>
      <c r="Z7" s="29">
        <v>0</v>
      </c>
      <c r="AA7" s="24">
        <f>R7*(1+'Budget Summary'!$G$35)</f>
        <v>0</v>
      </c>
      <c r="AB7" s="506">
        <f>ROUNDUP(IF(ISBLANK('Bdgt Yr 1'!$B$12),0,(AA7*Y7)+(AA7/'Bdgt Yr 1'!$B$12)*Z7),0)</f>
        <v>0</v>
      </c>
      <c r="AC7" s="1583" cm="1">
        <f t="array" ref="AC7">ROUNDUP(_xlfn.IFS(ISBLANK('Bdgt Yr 1'!$B$13),0,OR($B$7="ORP",AB7=0),(AA7*Y7*Constants!$N$14)+(Constants!$N$15*Y7)+(AA7/'Bdgt Yr 1'!$B$13*Z7*Constants!$N$14),OR($B$7="TSERS",AB7=0),(AA7*Y7*Constants!$N$7)+(Constants!$N$8*Y7)+(AA7/'Bdgt Yr 1'!$B$13*Z7*Constants!$N$7),OR($B$7="Law Enforcement",AB7=0),(AA7*Y7*Constants!$N$28)+(Constants!$N$29*Y7)+(AA7/'Bdgt Yr 1'!$B$13*Z7*Constants!$N$28)),0)</f>
        <v>0</v>
      </c>
      <c r="AD7" s="136">
        <f t="shared" ref="AD7:AD11" si="2">(+AB7+AC7)</f>
        <v>0</v>
      </c>
      <c r="AE7" s="1227"/>
      <c r="AF7" s="1260">
        <v>0</v>
      </c>
      <c r="AG7" s="1261"/>
      <c r="AH7" s="326">
        <f>IF(ISBLANK('Bdgt Yr 1'!$B$13),0,(AF7/'Bdgt Yr 1'!$B$13))</f>
        <v>0</v>
      </c>
      <c r="AI7" s="29">
        <v>0</v>
      </c>
      <c r="AJ7" s="24">
        <f>AA7*(1+'Budget Summary'!$G$35)</f>
        <v>0</v>
      </c>
      <c r="AK7" s="506">
        <f>ROUNDUP(IF(ISBLANK('Bdgt Yr 1'!$B$12),0,(AJ7*AH7)+(AJ7/'Bdgt Yr 1'!$B$12)*AI7),0)</f>
        <v>0</v>
      </c>
      <c r="AL7" s="1583" cm="1">
        <f t="array" ref="AL7">ROUNDUP(_xlfn.IFS(ISBLANK('Bdgt Yr 1'!$B$13),0,OR($B$7="ORP",AK7=0),(AJ7*AH7*Constants!$N$14)+(Constants!$N$15*AH7)+(AJ7/'Bdgt Yr 1'!$B$13*AI7*Constants!$N$14),OR($B$7="TSERS",AK7=0),(AJ7*AH7*Constants!$N$7)+(Constants!$N$8*AH7)+(AJ7/'Bdgt Yr 1'!$B$13*AI7*Constants!$N$7),OR($B$7="Law Enforcement",AK7=0),(AJ7*AH7*Constants!$N$28)+(Constants!$N$29*AH7)+(AJ7/'Bdgt Yr 1'!$B$13*AI7*Constants!$N$28)),0)</f>
        <v>0</v>
      </c>
      <c r="AM7" s="136">
        <f t="shared" ref="AM7:AM10" si="3">(+AK7+AL7)</f>
        <v>0</v>
      </c>
      <c r="AN7" s="1227"/>
      <c r="AO7" s="1260">
        <v>0</v>
      </c>
      <c r="AP7" s="1261"/>
      <c r="AQ7" s="326">
        <f>IF(ISBLANK('Bdgt Yr 1'!$B$13),0,(AO7/'Bdgt Yr 1'!$B$13))</f>
        <v>0</v>
      </c>
      <c r="AR7" s="29">
        <v>0</v>
      </c>
      <c r="AS7" s="24">
        <f>AJ7*(1+'Budget Summary'!$G$35)</f>
        <v>0</v>
      </c>
      <c r="AT7" s="506">
        <f>ROUNDUP(IF(ISBLANK('Bdgt Yr 1'!$B$12),0,(AS7*AQ7)+(AS7/'Bdgt Yr 1'!$B$12)*AR7),0)</f>
        <v>0</v>
      </c>
      <c r="AU7" s="1583" cm="1">
        <f t="array" ref="AU7">ROUNDUP(_xlfn.IFS(ISBLANK('Bdgt Yr 1'!$B$13),0,OR($B$7="ORP",AT7=0),(AS7*AQ7*Constants!$N$14)+(Constants!$N$15*AQ7)+(AS7/'Bdgt Yr 1'!$B$13*AR7*Constants!$N$14),OR($B$7="TSERS",AT7=0),(AS7*AQ7*Constants!$N$7)+(Constants!$N$8*AQ7)+(AS7/'Bdgt Yr 1'!$B$13*AR7*Constants!$N$7),OR($B$7="Law Enforcement",AT7=0),(AS7*AQ7*Constants!$N$28)+(Constants!$N$29*AQ7)+(AS7/'Bdgt Yr 1'!$B$13*AR7*Constants!$N$28)),0)</f>
        <v>0</v>
      </c>
      <c r="AV7" s="136">
        <f t="shared" ref="AV7:AV10" si="4">(+AT7+AU7)</f>
        <v>0</v>
      </c>
    </row>
    <row r="8" spans="1:48" ht="15" customHeight="1">
      <c r="A8" s="417" t="str">
        <f>IF(ISBLANK('Bdgt Yr 1'!B14),"",'Bdgt Yr 1'!B14)</f>
        <v/>
      </c>
      <c r="B8" s="417" t="str">
        <f>IF(ISBLANK('Bdgt Yr 1'!C14),"",'Bdgt Yr 1'!C14)</f>
        <v/>
      </c>
      <c r="C8" s="193" t="str">
        <f>T('Bdgt Yr 1'!E14)</f>
        <v/>
      </c>
      <c r="D8" s="331"/>
      <c r="E8" s="1260">
        <v>0</v>
      </c>
      <c r="F8" s="1261"/>
      <c r="G8" s="326">
        <f>IF(ISBLANK('Bdgt Yr 1'!$B$14),0,(E8/'Bdgt Yr 1'!$B$14))</f>
        <v>0</v>
      </c>
      <c r="H8" s="80">
        <v>0</v>
      </c>
      <c r="I8" s="24">
        <f>'Bdgt Yr 1'!J14</f>
        <v>0</v>
      </c>
      <c r="J8" s="506">
        <f>ROUNDUP(IF(ISBLANK('Bdgt Yr 1'!$B$12),0,(I8*G8)+(I8/'Bdgt Yr 1'!$B$12)*H8),0)</f>
        <v>0</v>
      </c>
      <c r="K8" s="1583" cm="1">
        <f t="array" ref="K8">ROUNDUP(_xlfn.IFS(ISBLANK('Bdgt Yr 1'!$B$14),0,OR($B$8="ORP",J8=0),(I8*G8*Constants!$N$14)+(Constants!$N$15*G8)+(I8/'Bdgt Yr 1'!$B$14*H8*Constants!$N$14),OR($B$8="TSERS",J8=0),(I8*G8*Constants!$N$7)+(Constants!$N$8*G8)+(I8/'Bdgt Yr 1'!$B$14*H8*Constants!$N$7),OR($B$8="Law Enforcement",J8=0),(I8*G8*Constants!$N$28)+(Constants!$N$29*G8)+(I8/'Bdgt Yr 1'!$B$14*H8*Constants!$N$28)),0)</f>
        <v>0</v>
      </c>
      <c r="L8" s="136">
        <f t="shared" si="0"/>
        <v>0</v>
      </c>
      <c r="M8" s="1299"/>
      <c r="N8" s="1260">
        <v>0</v>
      </c>
      <c r="O8" s="1261"/>
      <c r="P8" s="326">
        <f>IF(ISBLANK('Bdgt Yr 1'!$B$14),0,(N8/'Bdgt Yr 1'!$B$14))</f>
        <v>0</v>
      </c>
      <c r="Q8" s="80">
        <v>0</v>
      </c>
      <c r="R8" s="24">
        <f>I8*(1+'Budget Summary'!$G$35)</f>
        <v>0</v>
      </c>
      <c r="S8" s="506">
        <f>ROUNDUP(IF(ISBLANK('Bdgt Yr 1'!$B$12),0,(R8*P8)+(R8/'Bdgt Yr 1'!$B$12)*Q8),0)</f>
        <v>0</v>
      </c>
      <c r="T8" s="1583" cm="1">
        <f t="array" ref="T8">ROUNDUP(_xlfn.IFS(ISBLANK('Bdgt Yr 1'!$B$14),0,OR($B$8="ORP",S8=0),(R8*P8*Constants!$N$14)+(Constants!$N$15*P8)+(R8/'Bdgt Yr 1'!$B$14*Q8*Constants!$N$14),OR($B$8="TSERS",S8=0),(R8*P8*Constants!$N$7)+(Constants!$N$8*P8)+(R8/'Bdgt Yr 1'!$B$14*Q8*Constants!$N$7),OR($B$8="Law Enforcement",S8=0),(R8*P8*Constants!$N$28)+(Constants!$N$29*P8)+(R8/'Bdgt Yr 1'!$B$14*Q8*Constants!$N$28)),0)</f>
        <v>0</v>
      </c>
      <c r="U8" s="136">
        <f t="shared" si="1"/>
        <v>0</v>
      </c>
      <c r="V8" s="1227"/>
      <c r="W8" s="1260">
        <v>0</v>
      </c>
      <c r="X8" s="1261"/>
      <c r="Y8" s="326">
        <f>IF(ISBLANK('Bdgt Yr 1'!$B$14),0,(W8/'Bdgt Yr 1'!$B$14))</f>
        <v>0</v>
      </c>
      <c r="Z8" s="80">
        <v>0</v>
      </c>
      <c r="AA8" s="24">
        <f>R8*(1+'Budget Summary'!$G$35)</f>
        <v>0</v>
      </c>
      <c r="AB8" s="506">
        <f>ROUNDUP(IF(ISBLANK('Bdgt Yr 1'!$B$12),0,(AA8*Y8)+(AA8/'Bdgt Yr 1'!$B$12)*Z8),0)</f>
        <v>0</v>
      </c>
      <c r="AC8" s="1583" cm="1">
        <f t="array" ref="AC8">ROUNDUP(_xlfn.IFS(ISBLANK('Bdgt Yr 1'!$B$14),0,OR($B$8="ORP",AB8=0),(AA8*Y8*Constants!$N$14)+(Constants!$N$15*Y8)+(AA8/'Bdgt Yr 1'!$B$14*Z8*Constants!$N$14),OR($B$8="TSERS",AB8=0),(AA8*Y8*Constants!$N$7)+(Constants!$N$8*Y8)+(AA8/'Bdgt Yr 1'!$B$14*Z8*Constants!$N$7),OR($B$8="Law Enforcement",AB8=0),(AA8*Y8*Constants!$N$28)+(Constants!$N$29*Y8)+(AA8/'Bdgt Yr 1'!$B$14*Z8*Constants!$N$28)),0)</f>
        <v>0</v>
      </c>
      <c r="AD8" s="136">
        <f t="shared" si="2"/>
        <v>0</v>
      </c>
      <c r="AE8" s="1227"/>
      <c r="AF8" s="1260">
        <v>0</v>
      </c>
      <c r="AG8" s="1261"/>
      <c r="AH8" s="326">
        <f>IF(ISBLANK('Bdgt Yr 1'!$B$14),0,(AF8/'Bdgt Yr 1'!$B$14))</f>
        <v>0</v>
      </c>
      <c r="AI8" s="80">
        <v>0</v>
      </c>
      <c r="AJ8" s="24">
        <f>AA8*(1+'Budget Summary'!$G$35)</f>
        <v>0</v>
      </c>
      <c r="AK8" s="506">
        <f>ROUNDUP(IF(ISBLANK('Bdgt Yr 1'!$B$12),0,(AJ8*AH8)+(AJ8/'Bdgt Yr 1'!$B$12)*AI8),0)</f>
        <v>0</v>
      </c>
      <c r="AL8" s="1583" cm="1">
        <f t="array" ref="AL8">ROUNDUP(_xlfn.IFS(ISBLANK('Bdgt Yr 1'!$B$14),0,OR($B$8="ORP",AK8=0),(AJ8*AH8*Constants!$N$14)+(Constants!$N$15*AH8)+(AJ8/'Bdgt Yr 1'!$B$14*AI8*Constants!$N$14),OR($B$8="TSERS",AK8=0),(AJ8*AH8*Constants!$N$7)+(Constants!$N$8*AH8)+(AJ8/'Bdgt Yr 1'!$B$14*AI8*Constants!$N$7),OR($B$8="Law Enforcement",AK8=0),(AJ8*AH8*Constants!$N$28)+(Constants!$N$29*AH8)+(AJ8/'Bdgt Yr 1'!$B$14*AI8*Constants!$N$28)),0)</f>
        <v>0</v>
      </c>
      <c r="AM8" s="136">
        <f t="shared" si="3"/>
        <v>0</v>
      </c>
      <c r="AN8" s="1227"/>
      <c r="AO8" s="1260">
        <v>0</v>
      </c>
      <c r="AP8" s="1261"/>
      <c r="AQ8" s="326">
        <f>IF(ISBLANK('Bdgt Yr 1'!$B$14),0,(AO8/'Bdgt Yr 1'!$B$14))</f>
        <v>0</v>
      </c>
      <c r="AR8" s="80">
        <v>0</v>
      </c>
      <c r="AS8" s="24">
        <f>AJ8*(1+'Budget Summary'!$G$35)</f>
        <v>0</v>
      </c>
      <c r="AT8" s="506">
        <f>ROUNDUP(IF(ISBLANK('Bdgt Yr 1'!$B$12),0,(AS8*AQ8)+(AS8/'Bdgt Yr 1'!$B$12)*AR8),0)</f>
        <v>0</v>
      </c>
      <c r="AU8" s="1583" cm="1">
        <f t="array" ref="AU8">ROUNDUP(_xlfn.IFS(ISBLANK('Bdgt Yr 1'!$B$14),0,OR($B$8="ORP",AT8=0),(AS8*AQ8*Constants!$N$14)+(Constants!$N$15*AQ8)+(AS8/'Bdgt Yr 1'!$B$14*AR8*Constants!$N$14),OR($B$8="TSERS",AT8=0),(AS8*AQ8*Constants!$N$7)+(Constants!$N$8*AQ8)+(AS8/'Bdgt Yr 1'!$B$14*AR8*Constants!$N$7),OR($B$8="Law Enforcement",AT8=0),(AS8*AQ8*Constants!$N$28)+(Constants!$N$29*AQ8)+(AS8/'Bdgt Yr 1'!$B$14*AR8*Constants!$N$28)),0)</f>
        <v>0</v>
      </c>
      <c r="AV8" s="136">
        <f t="shared" si="4"/>
        <v>0</v>
      </c>
    </row>
    <row r="9" spans="1:48" ht="15" customHeight="1">
      <c r="A9" s="417" t="str">
        <f>IF(ISBLANK('Bdgt Yr 1'!B15),"",'Bdgt Yr 1'!B15)</f>
        <v/>
      </c>
      <c r="B9" s="417" t="str">
        <f>IF(ISBLANK('Bdgt Yr 1'!C15),"",'Bdgt Yr 1'!C15)</f>
        <v/>
      </c>
      <c r="C9" s="193" t="str">
        <f>T('Bdgt Yr 1'!E15)</f>
        <v/>
      </c>
      <c r="D9" s="331"/>
      <c r="E9" s="1260">
        <v>0</v>
      </c>
      <c r="F9" s="1261"/>
      <c r="G9" s="326">
        <f>IF(ISBLANK('Bdgt Yr 1'!$B$15),0,(E9/'Bdgt Yr 1'!$B$15))</f>
        <v>0</v>
      </c>
      <c r="H9" s="29">
        <v>0</v>
      </c>
      <c r="I9" s="24">
        <f>'Bdgt Yr 1'!J15</f>
        <v>0</v>
      </c>
      <c r="J9" s="506">
        <f>ROUNDUP(IF(ISBLANK('Bdgt Yr 1'!$B$12),0,(I9*G9)+(I9/'Bdgt Yr 1'!$B$12)*H9),0)</f>
        <v>0</v>
      </c>
      <c r="K9" s="1583" cm="1">
        <f t="array" ref="K9">ROUNDUP(_xlfn.IFS(ISBLANK('Bdgt Yr 1'!$B$15),0,OR($B$9="ORP",J9=0),(I9*G9*Constants!$N$14)+(Constants!$N$15*G9)+(I9/'Bdgt Yr 1'!$B$15*H9*Constants!$N$14),OR($B$9="TSERS",J9=0),(I9*G9*Constants!$N$7)+(Constants!$N$8*G9)+(I9/'Bdgt Yr 1'!$B$15*H9*Constants!$N$7),OR($B$9="Law Enforcement",J9=0),(I9*G9*Constants!$N$28)+(Constants!$N$29*G9)+(I9/'Bdgt Yr 1'!$B$15*H9*Constants!$N$28)),0)</f>
        <v>0</v>
      </c>
      <c r="L9" s="136">
        <f t="shared" si="0"/>
        <v>0</v>
      </c>
      <c r="M9" s="1299"/>
      <c r="N9" s="1260">
        <v>0</v>
      </c>
      <c r="O9" s="1261"/>
      <c r="P9" s="326">
        <f>IF(ISBLANK('Bdgt Yr 1'!$B$15),0,(N9/'Bdgt Yr 1'!$B$15))</f>
        <v>0</v>
      </c>
      <c r="Q9" s="29">
        <v>0</v>
      </c>
      <c r="R9" s="24">
        <f>I9*(1+'Budget Summary'!$G$35)</f>
        <v>0</v>
      </c>
      <c r="S9" s="506">
        <f>ROUNDUP(IF(ISBLANK('Bdgt Yr 1'!$B$12),0,(R9*P9)+(R9/'Bdgt Yr 1'!$B$12)*Q9),0)</f>
        <v>0</v>
      </c>
      <c r="T9" s="1583" cm="1">
        <f t="array" ref="T9">ROUNDUP(_xlfn.IFS(ISBLANK('Bdgt Yr 1'!$B$15),0,OR($B$9="ORP",S9=0),(R9*P9*Constants!$N$14)+(Constants!$N$15*P9)+(R9/'Bdgt Yr 1'!$B$15*Q9*Constants!$N$14),OR($B$9="TSERS",S9=0),(R9*P9*Constants!$N$7)+(Constants!$N$8*P9)+(R9/'Bdgt Yr 1'!$B$15*Q9*Constants!$N$7),OR($B$9="Law Enforcement",S9=0),(R9*P9*Constants!$N$28)+(Constants!$N$29*P9)+(R9/'Bdgt Yr 1'!$B$15*Q9*Constants!$N$28)),0)</f>
        <v>0</v>
      </c>
      <c r="U9" s="136">
        <f t="shared" si="1"/>
        <v>0</v>
      </c>
      <c r="V9" s="1227"/>
      <c r="W9" s="1260">
        <v>0</v>
      </c>
      <c r="X9" s="1261"/>
      <c r="Y9" s="326">
        <f>IF(ISBLANK('Bdgt Yr 1'!$B$15),0,(W9/'Bdgt Yr 1'!$B$15))</f>
        <v>0</v>
      </c>
      <c r="Z9" s="29">
        <v>0</v>
      </c>
      <c r="AA9" s="24">
        <f>R9*(1+'Budget Summary'!$G$35)</f>
        <v>0</v>
      </c>
      <c r="AB9" s="506">
        <f>ROUNDUP(IF(ISBLANK('Bdgt Yr 1'!$B$12),0,(AA9*Y9)+(AA9/'Bdgt Yr 1'!$B$12)*Z9),0)</f>
        <v>0</v>
      </c>
      <c r="AC9" s="1583" cm="1">
        <f t="array" ref="AC9">ROUNDUP(_xlfn.IFS(ISBLANK('Bdgt Yr 1'!$B$15),0,OR($B$9="ORP",AB9=0),(AA9*Y9*Constants!$N$14)+(Constants!$N$15*Y9)+(AA9/'Bdgt Yr 1'!$B$15*Z9*Constants!$N$14),OR($B$9="TSERS",AB9=0),(AA9*Y9*Constants!$N$7)+(Constants!$N$8*Y9)+(AA9/'Bdgt Yr 1'!$B$15*Z9*Constants!$N$7),OR($B$9="Law Enforcement",AB9=0),(AA9*Y9*Constants!$N$28)+(Constants!$N$29*Y9)+(AA9/'Bdgt Yr 1'!$B$15*Z9*Constants!$N$28)),0)</f>
        <v>0</v>
      </c>
      <c r="AD9" s="136">
        <f t="shared" si="2"/>
        <v>0</v>
      </c>
      <c r="AE9" s="1227"/>
      <c r="AF9" s="1260">
        <v>0</v>
      </c>
      <c r="AG9" s="1261"/>
      <c r="AH9" s="326">
        <f>IF(ISBLANK('Bdgt Yr 1'!$B$15),0,(AF9/'Bdgt Yr 1'!$B$15))</f>
        <v>0</v>
      </c>
      <c r="AI9" s="29">
        <v>0</v>
      </c>
      <c r="AJ9" s="24">
        <f>AA9*(1+'Budget Summary'!$G$35)</f>
        <v>0</v>
      </c>
      <c r="AK9" s="506">
        <f>ROUNDUP(IF(ISBLANK('Bdgt Yr 1'!$B$12),0,(AJ9*AH9)+(AJ9/'Bdgt Yr 1'!$B$12)*AI9),0)</f>
        <v>0</v>
      </c>
      <c r="AL9" s="1583" cm="1">
        <f t="array" ref="AL9">ROUNDUP(_xlfn.IFS(ISBLANK('Bdgt Yr 1'!$B$15),0,OR($B$9="ORP",AK9=0),(AJ9*AH9*Constants!$N$14)+(Constants!$N$15*AH9)+(AJ9/'Bdgt Yr 1'!$B$15*AI9*Constants!$N$14),OR($B$9="TSERS",AK9=0),(AJ9*AH9*Constants!$N$7)+(Constants!$N$8*AH9)+(AJ9/'Bdgt Yr 1'!$B$15*AI9*Constants!$N$7),OR($B$9="Law Enforcement",AK9=0),(AJ9*AH9*Constants!$N$28)+(Constants!$N$29*AH9)+(AJ9/'Bdgt Yr 1'!$B$15*AI9*Constants!$N$28)),0)</f>
        <v>0</v>
      </c>
      <c r="AM9" s="136">
        <f t="shared" si="3"/>
        <v>0</v>
      </c>
      <c r="AN9" s="1227"/>
      <c r="AO9" s="1260">
        <v>0</v>
      </c>
      <c r="AP9" s="1261"/>
      <c r="AQ9" s="326">
        <f>IF(ISBLANK('Bdgt Yr 1'!$B$15),0,(AO9/'Bdgt Yr 1'!$B$15))</f>
        <v>0</v>
      </c>
      <c r="AR9" s="29">
        <v>0</v>
      </c>
      <c r="AS9" s="24">
        <f>AJ9*(1+'Budget Summary'!$G$35)</f>
        <v>0</v>
      </c>
      <c r="AT9" s="506">
        <f>ROUNDUP(IF(ISBLANK('Bdgt Yr 1'!$B$12),0,(AS9*AQ9)+(AS9/'Bdgt Yr 1'!$B$12)*AR9),0)</f>
        <v>0</v>
      </c>
      <c r="AU9" s="1583" cm="1">
        <f t="array" ref="AU9">ROUNDUP(_xlfn.IFS(ISBLANK('Bdgt Yr 1'!$B$15),0,OR($B$9="ORP",AT9=0),(AS9*AQ9*Constants!$N$14)+(Constants!$N$15*AQ9)+(AS9/'Bdgt Yr 1'!$B$15*AR9*Constants!$N$14),OR($B$9="TSERS",AT9=0),(AS9*AQ9*Constants!$N$7)+(Constants!$N$8*AQ9)+(AS9/'Bdgt Yr 1'!$B$15*AR9*Constants!$N$7),OR($B$9="Law Enforcement",AT9=0),(AS9*AQ9*Constants!$N$28)+(Constants!$N$29*AQ9)+(AS9/'Bdgt Yr 1'!$B$15*AR9*Constants!$N$28)),0)</f>
        <v>0</v>
      </c>
      <c r="AV9" s="136">
        <f t="shared" si="4"/>
        <v>0</v>
      </c>
    </row>
    <row r="10" spans="1:48" ht="15" customHeight="1">
      <c r="A10" s="417" t="str">
        <f>IF(ISBLANK('Bdgt Yr 1'!B16),"",'Bdgt Yr 1'!B16)</f>
        <v/>
      </c>
      <c r="B10" s="417" t="str">
        <f>IF(ISBLANK('Bdgt Yr 1'!C16),"",'Bdgt Yr 1'!C16)</f>
        <v/>
      </c>
      <c r="C10" s="193" t="str">
        <f>T('Bdgt Yr 1'!E16)</f>
        <v/>
      </c>
      <c r="D10" s="331"/>
      <c r="E10" s="1233">
        <v>0</v>
      </c>
      <c r="F10" s="1234"/>
      <c r="G10" s="326">
        <f>IF(ISBLANK('Bdgt Yr 1'!$B$16),0,(E10/'Bdgt Yr 1'!$B$16))</f>
        <v>0</v>
      </c>
      <c r="H10" s="188">
        <v>0</v>
      </c>
      <c r="I10" s="24">
        <f>'Bdgt Yr 1'!J16</f>
        <v>0</v>
      </c>
      <c r="J10" s="506">
        <f>ROUNDUP(IF(ISBLANK('Bdgt Yr 1'!$B$12),0,(I10*G10)+(I10/'Bdgt Yr 1'!$B$12)*H10),0)</f>
        <v>0</v>
      </c>
      <c r="K10" s="1583" cm="1">
        <f t="array" ref="K10">ROUNDUP(_xlfn.IFS(ISBLANK('Bdgt Yr 1'!$B$16),0,OR($B$10="ORP",J10=0),(I10*G10*Constants!$N$14)+(Constants!$N$15*G10)+(I10/'Bdgt Yr 1'!$B$16*H10*Constants!$N$14),OR($B$10="TSERS",J10=0),(I10*G10*Constants!$N$7)+(Constants!$N$8*G10)+(I10/'Bdgt Yr 1'!$B$16*H10*Constants!$N$7),OR($B$10="Law Enforcement",J10=0),(I10*G10*Constants!$N$28)+(Constants!$N$29*G10)+(I10/'Bdgt Yr 1'!$B$16*H10*Constants!$N$28)),0)</f>
        <v>0</v>
      </c>
      <c r="L10" s="136">
        <f t="shared" si="0"/>
        <v>0</v>
      </c>
      <c r="M10" s="1299"/>
      <c r="N10" s="1233">
        <v>0</v>
      </c>
      <c r="O10" s="1234"/>
      <c r="P10" s="326">
        <f>IF(ISBLANK('Bdgt Yr 1'!$B$16),0,(N10/'Bdgt Yr 1'!$B$16))</f>
        <v>0</v>
      </c>
      <c r="Q10" s="29">
        <v>0</v>
      </c>
      <c r="R10" s="24">
        <f>I10*(1+'Budget Summary'!$G$35)</f>
        <v>0</v>
      </c>
      <c r="S10" s="506">
        <f>ROUNDUP(IF(ISBLANK('Bdgt Yr 1'!$B$12),0,(R10*P10)+(R10/'Bdgt Yr 1'!$B$12)*Q10),0)</f>
        <v>0</v>
      </c>
      <c r="T10" s="1583" cm="1">
        <f t="array" ref="T10">ROUNDUP(_xlfn.IFS(ISBLANK('Bdgt Yr 1'!$B$16),0,OR($B$10="ORP",S10=0),(R10*P10*Constants!$N$14)+(Constants!$N$15*P10)+(R10/'Bdgt Yr 1'!$B$16*Q10*Constants!$N$14),OR($B$10="TSERS",S10=0),(R10*P10*Constants!$N$7)+(Constants!$N$8*P10)+(R10/'Bdgt Yr 1'!$B$16*Q10*Constants!$N$7),OR($B$10="Law Enforcement",S10=0),(R10*P10*Constants!$N$28)+(Constants!$N$29*P10)+(R10/'Bdgt Yr 1'!$B$16*Q10*Constants!$N$28)),0)</f>
        <v>0</v>
      </c>
      <c r="U10" s="136">
        <f t="shared" si="1"/>
        <v>0</v>
      </c>
      <c r="V10" s="1227"/>
      <c r="W10" s="1233">
        <v>0</v>
      </c>
      <c r="X10" s="1234"/>
      <c r="Y10" s="326">
        <f>IF(ISBLANK('Bdgt Yr 1'!$B$16),0,(W10/'Bdgt Yr 1'!$B$16))</f>
        <v>0</v>
      </c>
      <c r="Z10" s="188">
        <v>0</v>
      </c>
      <c r="AA10" s="24">
        <f>R10*(1+'Budget Summary'!$G$35)</f>
        <v>0</v>
      </c>
      <c r="AB10" s="506">
        <f>ROUNDUP(IF(ISBLANK('Bdgt Yr 1'!$B$12),0,(AA10*Y10)+(AA10/'Bdgt Yr 1'!$B$12)*Z10),0)</f>
        <v>0</v>
      </c>
      <c r="AC10" s="1583" cm="1">
        <f t="array" ref="AC10">ROUNDUP(_xlfn.IFS(ISBLANK('Bdgt Yr 1'!$B$16),0,OR($B$10="ORP",AB10=0),(AA10*Y10*Constants!$N$14)+(Constants!$N$15*Y10)+(AA10/'Bdgt Yr 1'!$B$16*Z10*Constants!$N$14),OR($B$10="TSERS",AB10=0),(AA10*Y10*Constants!$N$7)+(Constants!$N$8*Y10)+(AA10/'Bdgt Yr 1'!$B$16*Z10*Constants!$N$7),OR($B$10="Law Enforcement",AB10=0),(AA10*Y10*Constants!$N$28)+(Constants!$N$29*Y10)+(AA10/'Bdgt Yr 1'!$B$16*Z10*Constants!$N$28)),0)</f>
        <v>0</v>
      </c>
      <c r="AD10" s="136">
        <f t="shared" si="2"/>
        <v>0</v>
      </c>
      <c r="AE10" s="1227"/>
      <c r="AF10" s="1233">
        <v>0</v>
      </c>
      <c r="AG10" s="1234"/>
      <c r="AH10" s="326">
        <f>IF(ISBLANK('Bdgt Yr 1'!$B$16),0,(AF10/'Bdgt Yr 1'!$B$16))</f>
        <v>0</v>
      </c>
      <c r="AI10" s="188">
        <v>0</v>
      </c>
      <c r="AJ10" s="24">
        <f>AA10*(1+'Budget Summary'!$G$35)</f>
        <v>0</v>
      </c>
      <c r="AK10" s="506">
        <f>ROUNDUP(IF(ISBLANK('Bdgt Yr 1'!$B$12),0,(AJ10*AH10)+(AJ10/'Bdgt Yr 1'!$B$12)*AI10),0)</f>
        <v>0</v>
      </c>
      <c r="AL10" s="1583" cm="1">
        <f t="array" ref="AL10">ROUNDUP(_xlfn.IFS(ISBLANK('Bdgt Yr 1'!$B$16),0,OR($B$10="ORP",AK10=0),(AJ10*AH10*Constants!$N$14)+(Constants!$N$15*AH10)+(AJ10/'Bdgt Yr 1'!$B$16*AI10*Constants!$N$14),OR($B$10="TSERS",AK10=0),(AJ10*AH10*Constants!$N$7)+(Constants!$N$8*AH10)+(AJ10/'Bdgt Yr 1'!$B$16*AI10*Constants!$N$7),OR($B$10="Law Enforcement",AK10=0),(AJ10*AH10*Constants!$N$28)+(Constants!$N$29*AH10)+(AJ10/'Bdgt Yr 1'!$B$16*AI10*Constants!$N$28)),0)</f>
        <v>0</v>
      </c>
      <c r="AM10" s="136">
        <f t="shared" si="3"/>
        <v>0</v>
      </c>
      <c r="AN10" s="1227"/>
      <c r="AO10" s="1233">
        <v>0</v>
      </c>
      <c r="AP10" s="1234"/>
      <c r="AQ10" s="326">
        <f>IF(ISBLANK('Bdgt Yr 1'!$B$16),0,(AO10/'Bdgt Yr 1'!$B$16))</f>
        <v>0</v>
      </c>
      <c r="AR10" s="188">
        <v>0</v>
      </c>
      <c r="AS10" s="24">
        <f>AJ10*(1+'Budget Summary'!$G$35)</f>
        <v>0</v>
      </c>
      <c r="AT10" s="506">
        <f>ROUNDUP(IF(ISBLANK('Bdgt Yr 1'!$B$12),0,(AS10*AQ10)+(AS10/'Bdgt Yr 1'!$B$12)*AR10),0)</f>
        <v>0</v>
      </c>
      <c r="AU10" s="1583" cm="1">
        <f t="array" ref="AU10">ROUNDUP(_xlfn.IFS(ISBLANK('Bdgt Yr 1'!$B$16),0,OR($B$10="ORP",AT10=0),(AS10*AQ10*Constants!$N$14)+(Constants!$N$15*AQ10)+(AS10/'Bdgt Yr 1'!$B$16*AR10*Constants!$N$14),OR($B$10="TSERS",AT10=0),(AS10*AQ10*Constants!$N$7)+(Constants!$N$8*AQ10)+(AS10/'Bdgt Yr 1'!$B$16*AR10*Constants!$N$7),OR($B$10="Law Enforcement",AT10=0),(AS10*AQ10*Constants!$N$28)+(Constants!$N$29*AQ10)+(AS10/'Bdgt Yr 1'!$B$16*AR10*Constants!$N$28)),0)</f>
        <v>0</v>
      </c>
      <c r="AV10" s="136">
        <f t="shared" si="4"/>
        <v>0</v>
      </c>
    </row>
    <row r="11" spans="1:48" ht="15.75" customHeight="1">
      <c r="A11" s="417" t="str">
        <f>IF(ISBLANK('Bdgt Yr 1'!B17),"",'Bdgt Yr 1'!B17)</f>
        <v/>
      </c>
      <c r="B11" s="417" t="str">
        <f>IF(ISBLANK('Bdgt Yr 1'!C17),"",'Bdgt Yr 1'!C17)</f>
        <v/>
      </c>
      <c r="C11" s="193" t="str">
        <f>T('Bdgt Yr 1'!E17)</f>
        <v/>
      </c>
      <c r="D11" s="331"/>
      <c r="E11" s="1260">
        <v>0</v>
      </c>
      <c r="F11" s="1261"/>
      <c r="G11" s="326">
        <f>IF(ISBLANK('Bdgt Yr 1'!$B$17),0,(E11/'Bdgt Yr 1'!$B$17))</f>
        <v>0</v>
      </c>
      <c r="H11" s="29">
        <v>0</v>
      </c>
      <c r="I11" s="24">
        <f>'Bdgt Yr 1'!J17</f>
        <v>0</v>
      </c>
      <c r="J11" s="506">
        <f>ROUNDUP(IF(ISBLANK('Bdgt Yr 1'!$B$12),0,(I11*G11)+(I11/'Bdgt Yr 1'!$B$12)*H11),0)</f>
        <v>0</v>
      </c>
      <c r="K11" s="1583" cm="1">
        <f t="array" ref="K11">ROUNDUP(_xlfn.IFS(ISBLANK('Bdgt Yr 1'!$B$17),0,OR($B$11="ORP",J11=0),(I11*G11*Constants!$N$14)+(Constants!$N$15*G11)+(I11/'Bdgt Yr 1'!$B$17*H11*Constants!$N$14),OR($B$11="TSERS",J11=0),(I11*G11*Constants!$N$7)+(Constants!$N$8*G11)+(I11/'Bdgt Yr 1'!$B$17*H11*Constants!$N$7),OR($B$11="Law Enforcement",J11=0),(I11*G11*Constants!$N$28)+(Constants!$N$29*G11)+(I11/'Bdgt Yr 1'!$B$17*H11*Constants!$N$28)),0)</f>
        <v>0</v>
      </c>
      <c r="L11" s="136">
        <f t="shared" si="0"/>
        <v>0</v>
      </c>
      <c r="M11" s="1299"/>
      <c r="N11" s="1260">
        <v>0</v>
      </c>
      <c r="O11" s="1261"/>
      <c r="P11" s="326">
        <f>IF(ISBLANK('Bdgt Yr 1'!$B$17),0,(N11/'Bdgt Yr 1'!$B$17))</f>
        <v>0</v>
      </c>
      <c r="Q11" s="29">
        <v>0</v>
      </c>
      <c r="R11" s="24">
        <f>I11*(1+'Budget Summary'!$G$35)</f>
        <v>0</v>
      </c>
      <c r="S11" s="506">
        <f>ROUNDUP(IF(ISBLANK('Bdgt Yr 1'!$B$12),0,(R11*P11)+(R11/'Bdgt Yr 1'!$B$12)*Q11),0)</f>
        <v>0</v>
      </c>
      <c r="T11" s="1583" cm="1">
        <f t="array" ref="T11">ROUNDUP(_xlfn.IFS(ISBLANK('Bdgt Yr 1'!$B$17),0,OR($B$11="ORP",S11=0),(R11*P11*Constants!$N$14)+(Constants!$N$15*P11)+(R11/'Bdgt Yr 1'!$B$17*Q11*Constants!$N$14),OR($B$11="TSERS",S11=0),(R11*P11*Constants!$N$7)+(Constants!$N$8*P11)+(R11/'Bdgt Yr 1'!$B$17*Q11*Constants!$N$7),OR($B$11="Law Enforcement",S11=0),(R11*P11*Constants!$N$28)+(Constants!$N$29*P11)+(R11/'Bdgt Yr 1'!$B$17*Q11*Constants!$N$28)),0)</f>
        <v>0</v>
      </c>
      <c r="U11" s="136">
        <f t="shared" si="1"/>
        <v>0</v>
      </c>
      <c r="V11" s="1227"/>
      <c r="W11" s="1260">
        <v>0</v>
      </c>
      <c r="X11" s="1261"/>
      <c r="Y11" s="326">
        <f>IF(ISBLANK('Bdgt Yr 1'!$B$17),0,(W11/'Bdgt Yr 1'!$B$17))</f>
        <v>0</v>
      </c>
      <c r="Z11" s="188">
        <v>0</v>
      </c>
      <c r="AA11" s="24">
        <f>R11*(1+'Budget Summary'!$G$35)</f>
        <v>0</v>
      </c>
      <c r="AB11" s="506">
        <f>ROUNDUP(IF(ISBLANK('Bdgt Yr 1'!$B$12),0,(AA11*Y11)+(AA11/'Bdgt Yr 1'!$B$12)*Z11),0)</f>
        <v>0</v>
      </c>
      <c r="AC11" s="1583" cm="1">
        <f t="array" ref="AC11">ROUNDUP(_xlfn.IFS(ISBLANK('Bdgt Yr 1'!$B$17),0,OR($B$11="ORP",AB11=0),(AA11*Y11*Constants!$N$14)+(Constants!$N$15*Y11)+(AA11/'Bdgt Yr 1'!$B$17*Z11*Constants!$N$14),OR($B$11="TSERS",AB11=0),(AA11*Y11*Constants!$N$7)+(Constants!$N$8*Y11)+(AA11/'Bdgt Yr 1'!$B$17*Z11*Constants!$N$7),OR($B$11="Law Enforcement",AB11=0),(AA11*Y11*Constants!$N$28)+(Constants!$N$29*Y11)+(AA11/'Bdgt Yr 1'!$B$17*Z11*Constants!$N$28)),0)</f>
        <v>0</v>
      </c>
      <c r="AD11" s="136">
        <f t="shared" si="2"/>
        <v>0</v>
      </c>
      <c r="AE11" s="1227"/>
      <c r="AF11" s="1260">
        <v>0</v>
      </c>
      <c r="AG11" s="1261"/>
      <c r="AH11" s="326">
        <f>IF(ISBLANK('Bdgt Yr 1'!$B$17),0,(AF11/'Bdgt Yr 1'!$B$17))</f>
        <v>0</v>
      </c>
      <c r="AI11" s="188">
        <v>0</v>
      </c>
      <c r="AJ11" s="24">
        <f>AA11*(1+'Budget Summary'!$G$35)</f>
        <v>0</v>
      </c>
      <c r="AK11" s="506">
        <f>ROUNDUP(IF(ISBLANK('Bdgt Yr 1'!$B$12),0,(AJ11*AH11)+(AJ11/'Bdgt Yr 1'!$B$12)*AI11),0)</f>
        <v>0</v>
      </c>
      <c r="AL11" s="1583" cm="1">
        <f t="array" ref="AL11">ROUNDUP(_xlfn.IFS(ISBLANK('Bdgt Yr 1'!$B$17),0,OR($B$11="ORP",AK11=0),(AJ11*AH11*Constants!$N$14)+(Constants!$N$15*AH11)+(AJ11/'Bdgt Yr 1'!$B$17*AI11*Constants!$N$14),OR($B$11="TSERS",AK11=0),(AJ11*AH11*Constants!$N$7)+(Constants!$N$8*AH11)+(AJ11/'Bdgt Yr 1'!$B$17*AI11*Constants!$N$7),OR($B$11="Law Enforcement",AK11=0),(AJ11*AH11*Constants!$N$28)+(Constants!$N$29*AH11)+(AJ11/'Bdgt Yr 1'!$B$17*AI11*Constants!$N$28)),0)</f>
        <v>0</v>
      </c>
      <c r="AM11" s="136">
        <f t="shared" ref="AM11" si="5">(+AK11+AL11)</f>
        <v>0</v>
      </c>
      <c r="AN11" s="1227"/>
      <c r="AO11" s="1260">
        <v>0</v>
      </c>
      <c r="AP11" s="1261"/>
      <c r="AQ11" s="326">
        <f>IF(ISBLANK('Bdgt Yr 1'!$B$17),0,(AO11/'Bdgt Yr 1'!$B$17))</f>
        <v>0</v>
      </c>
      <c r="AR11" s="188">
        <v>0</v>
      </c>
      <c r="AS11" s="24">
        <f>AJ11*(1+'Budget Summary'!$G$35)</f>
        <v>0</v>
      </c>
      <c r="AT11" s="506">
        <f>ROUNDUP(IF(ISBLANK('Bdgt Yr 1'!$B$12),0,(AS11*AQ11)+(AS11/'Bdgt Yr 1'!$B$12)*AR11),0)</f>
        <v>0</v>
      </c>
      <c r="AU11" s="1583" cm="1">
        <f t="array" ref="AU11">ROUNDUP(_xlfn.IFS(ISBLANK('Bdgt Yr 1'!$B$17),0,OR($B$11="ORP",AT11=0),(AS11*AQ11*Constants!$N$14)+(Constants!$N$15*AQ11)+(AS11/'Bdgt Yr 1'!$B$17*AR11*Constants!$N$14),OR($B$11="TSERS",AT11=0),(AS11*AQ11*Constants!$N$7)+(Constants!$N$8*AQ11)+(AS11/'Bdgt Yr 1'!$B$17*AR11*Constants!$N$7),OR($B$11="Law Enforcement",AT11=0),(AS11*AQ11*Constants!$N$28)+(Constants!$N$29*AQ11)+(AS11/'Bdgt Yr 1'!$B$17*AR11*Constants!$N$28)),0)</f>
        <v>0</v>
      </c>
      <c r="AV11" s="136">
        <f t="shared" ref="AV11" si="6">(+AT11+AU11)</f>
        <v>0</v>
      </c>
    </row>
    <row r="12" spans="1:48" ht="15" customHeight="1">
      <c r="A12" s="417" t="str">
        <f>IF(ISBLANK('Bdgt Yr 1'!B18),"",'Bdgt Yr 1'!B18)</f>
        <v/>
      </c>
      <c r="B12" s="417" t="str">
        <f>IF(ISBLANK('Bdgt Yr 1'!C18),"",'Bdgt Yr 1'!C18)</f>
        <v/>
      </c>
      <c r="C12" s="193" t="str">
        <f>T('Bdgt Yr 1'!E18)</f>
        <v/>
      </c>
      <c r="D12" s="331"/>
      <c r="E12" s="1260">
        <v>0</v>
      </c>
      <c r="F12" s="1261"/>
      <c r="G12" s="326">
        <f>IF(ISBLANK('Bdgt Yr 1'!$B$18),0,(E12/'Bdgt Yr 1'!$B$18))</f>
        <v>0</v>
      </c>
      <c r="H12" s="29">
        <v>0</v>
      </c>
      <c r="I12" s="24">
        <f>'Bdgt Yr 1'!J18</f>
        <v>0</v>
      </c>
      <c r="J12" s="506">
        <f>ROUNDUP(IF(ISBLANK('Bdgt Yr 1'!$B$12),0,(I12*G12)+(I12/'Bdgt Yr 1'!$B$12)*H12),0)</f>
        <v>0</v>
      </c>
      <c r="K12" s="1583" cm="1">
        <f t="array" ref="K12">ROUNDUP(_xlfn.IFS(ISBLANK('Bdgt Yr 1'!$B$18),0,OR($B$12="ORP",J12=0),(I12*G12*Constants!$N$14)+(Constants!$N$15*G12)+(I12/'Bdgt Yr 1'!$B$18*H12*Constants!$N$14),OR($B$12="TSERS",J12=0),(I12*G12*Constants!$N$7)+(Constants!$N$8*G12)+(I12/'Bdgt Yr 1'!$B$18*H12*Constants!$N$7),OR($B$12="Law Enforcement",J12=0),(I12*G12*Constants!$N$28)+(Constants!$N$29*G12)+(I12/'Bdgt Yr 1'!$B$18*H12*Constants!$N$28)),0)</f>
        <v>0</v>
      </c>
      <c r="L12" s="136">
        <f t="shared" si="0"/>
        <v>0</v>
      </c>
      <c r="M12" s="1299"/>
      <c r="N12" s="1260">
        <v>0</v>
      </c>
      <c r="O12" s="1261"/>
      <c r="P12" s="326">
        <f>IF(ISBLANK('Bdgt Yr 1'!$B$18),0,(N12/'Bdgt Yr 1'!$B$18))</f>
        <v>0</v>
      </c>
      <c r="Q12" s="29">
        <v>0</v>
      </c>
      <c r="R12" s="24">
        <f>I12*(1+'Budget Summary'!$G$35)</f>
        <v>0</v>
      </c>
      <c r="S12" s="506">
        <f>ROUNDUP(IF(ISBLANK('Bdgt Yr 1'!$B$12),0,(R12*P12)+(R12/'Bdgt Yr 1'!$B$12)*Q12),0)</f>
        <v>0</v>
      </c>
      <c r="T12" s="1583" cm="1">
        <f t="array" ref="T12">ROUNDUP(_xlfn.IFS(ISBLANK('Bdgt Yr 1'!$B$18),0,OR($B$12="ORP",S12=0),(R12*P12*Constants!$N$14)+(Constants!$N$15*P12)+(R12/'Bdgt Yr 1'!$B$18*Q12*Constants!$N$14),OR($B$12="TSERS",S12=0),(R12*P12*Constants!$N$7)+(Constants!$N$8*P12)+(R12/'Bdgt Yr 1'!$B$18*Q12*Constants!$N$7),OR($B$12="Law Enforcement",S12=0),(R12*P12*Constants!$N$28)+(Constants!$N$29*P12)+(R12/'Bdgt Yr 1'!$B$18*Q12*Constants!$N$28)),0)</f>
        <v>0</v>
      </c>
      <c r="U12" s="136">
        <f t="shared" si="1"/>
        <v>0</v>
      </c>
      <c r="V12" s="1227"/>
      <c r="W12" s="1260">
        <v>0</v>
      </c>
      <c r="X12" s="1261"/>
      <c r="Y12" s="326">
        <f>IF(ISBLANK('Bdgt Yr 1'!$B$18),0,(W12/'Bdgt Yr 1'!$B$18))</f>
        <v>0</v>
      </c>
      <c r="Z12" s="188">
        <v>0</v>
      </c>
      <c r="AA12" s="24">
        <f>R12*(1+'Budget Summary'!$G$35)</f>
        <v>0</v>
      </c>
      <c r="AB12" s="506">
        <f>ROUNDUP(IF(ISBLANK('Bdgt Yr 1'!$B$12),0,(AA12*Y12)+(AA12/'Bdgt Yr 1'!$B$12)*Z12),0)</f>
        <v>0</v>
      </c>
      <c r="AC12" s="1583" cm="1">
        <f t="array" ref="AC12">ROUNDUP(_xlfn.IFS(ISBLANK('Bdgt Yr 1'!$B$18),0,OR($B$12="ORP",AB12=0),(AA12*Y12*Constants!$N$14)+(Constants!$N$15*Y12)+(AA12/'Bdgt Yr 1'!$B$18*Z12*Constants!$N$14),OR($B$12="TSERS",AB12=0),(AA12*Y12*Constants!$N$7)+(Constants!$N$8*Y12)+(AA12/'Bdgt Yr 1'!$B$18*Z12*Constants!$N$7),OR($B$12="Law Enforcement",AB12=0),(AA12*Y12*Constants!$N$28)+(Constants!$N$29*Y12)+(AA12/'Bdgt Yr 1'!$B$18*Z12*Constants!$N$28)),0)</f>
        <v>0</v>
      </c>
      <c r="AD12" s="135">
        <f>(+AB12+AC12)</f>
        <v>0</v>
      </c>
      <c r="AE12" s="1227"/>
      <c r="AF12" s="1260">
        <v>0</v>
      </c>
      <c r="AG12" s="1261"/>
      <c r="AH12" s="326">
        <f>IF(ISBLANK('Bdgt Yr 1'!$B$18),0,(AF12/'Bdgt Yr 1'!$B$18))</f>
        <v>0</v>
      </c>
      <c r="AI12" s="149">
        <v>0</v>
      </c>
      <c r="AJ12" s="24">
        <f>AA12*(1+'Budget Summary'!$G$35)</f>
        <v>0</v>
      </c>
      <c r="AK12" s="506">
        <f>ROUNDUP(IF(ISBLANK('Bdgt Yr 1'!$B$12),0,(AJ12*AH12)+(AJ12/'Bdgt Yr 1'!$B$12)*AI12),0)</f>
        <v>0</v>
      </c>
      <c r="AL12" s="1583" cm="1">
        <f t="array" ref="AL12">ROUNDUP(_xlfn.IFS(ISBLANK('Bdgt Yr 1'!$B$18),0,OR($B$12="ORP",AK12=0),(AJ12*AH12*Constants!$N$14)+(Constants!$N$15*AH12)+(AJ12/'Bdgt Yr 1'!$B$18*AI12*Constants!$N$14),OR($B$12="TSERS",AK12=0),(AJ12*AH12*Constants!$N$7)+(Constants!$N$8*AH12)+(AJ12/'Bdgt Yr 1'!$B$18*AI12*Constants!$N$7),OR($B$12="Law Enforcement",AK12=0),(AJ12*AH12*Constants!$N$28)+(Constants!$N$29*AH12)+(AJ12/'Bdgt Yr 1'!$B$18*AI12*Constants!$N$28)),0)</f>
        <v>0</v>
      </c>
      <c r="AM12" s="135">
        <f>(+AK12+AL12)</f>
        <v>0</v>
      </c>
      <c r="AN12" s="1227"/>
      <c r="AO12" s="1260">
        <v>0</v>
      </c>
      <c r="AP12" s="1261"/>
      <c r="AQ12" s="326">
        <f>IF(ISBLANK('Bdgt Yr 1'!$B$18),0,(AO12/'Bdgt Yr 1'!$B$18))</f>
        <v>0</v>
      </c>
      <c r="AR12" s="149">
        <v>0</v>
      </c>
      <c r="AS12" s="24">
        <f>AJ12*(1+'Budget Summary'!$G$35)</f>
        <v>0</v>
      </c>
      <c r="AT12" s="506">
        <f>ROUNDUP(IF(ISBLANK('Bdgt Yr 1'!$B$12),0,(AS12*AQ12)+(AS12/'Bdgt Yr 1'!$B$12)*AR12),0)</f>
        <v>0</v>
      </c>
      <c r="AU12" s="1583" cm="1">
        <f t="array" ref="AU12">ROUNDUP(_xlfn.IFS(ISBLANK('Bdgt Yr 1'!$B$18),0,OR($B$12="ORP",AT12=0),(AS12*AQ12*Constants!$N$14)+(Constants!$N$15*AQ12)+(AS12/'Bdgt Yr 1'!$B$18*AR12*Constants!$N$14),OR($B$12="TSERS",AT12=0),(AS12*AQ12*Constants!$N$7)+(Constants!$N$8*AQ12)+(AS12/'Bdgt Yr 1'!$B$18*AR12*Constants!$N$7),OR($B$12="Law Enforcement",AT12=0),(AS12*AQ12*Constants!$N$28)+(Constants!$N$29*AQ12)+(AS12/'Bdgt Yr 1'!$B$18*AR12*Constants!$N$28)),0)</f>
        <v>0</v>
      </c>
      <c r="AV12" s="135">
        <f>(+AT12+AU12)</f>
        <v>0</v>
      </c>
    </row>
    <row r="13" spans="1:48" ht="15" customHeight="1">
      <c r="A13" s="417" t="str">
        <f>IF(ISBLANK('Bdgt Yr 1'!B19),"",'Bdgt Yr 1'!B19)</f>
        <v/>
      </c>
      <c r="B13" s="417" t="str">
        <f>IF(ISBLANK('Bdgt Yr 1'!C19),"",'Bdgt Yr 1'!C19)</f>
        <v/>
      </c>
      <c r="C13" s="193" t="str">
        <f>T('Bdgt Yr 1'!E19)</f>
        <v/>
      </c>
      <c r="D13" s="331"/>
      <c r="E13" s="1260">
        <v>0</v>
      </c>
      <c r="F13" s="1261"/>
      <c r="G13" s="326">
        <f>IF(ISBLANK('Bdgt Yr 1'!$B$19),0,(E13/'Bdgt Yr 1'!$B$19))</f>
        <v>0</v>
      </c>
      <c r="H13" s="29">
        <v>0</v>
      </c>
      <c r="I13" s="24">
        <f>'Bdgt Yr 1'!J19</f>
        <v>0</v>
      </c>
      <c r="J13" s="506">
        <f>ROUNDUP(IF(ISBLANK('Bdgt Yr 1'!$B$12),0,(I13*G13)+(I13/'Bdgt Yr 1'!$B$12)*H13),0)</f>
        <v>0</v>
      </c>
      <c r="K13" s="1583" cm="1">
        <f t="array" ref="K13">ROUNDUP(_xlfn.IFS(ISBLANK('Bdgt Yr 1'!$B$19),0,OR($B$13="ORP",J13=0),(I13*G13*Constants!$N$14)+(Constants!$N$15*G13)+(I13/'Bdgt Yr 1'!$B$19*H13*Constants!$N$14),OR($B$13="TSERS",J13=0),(I13*G13*Constants!$N$7)+(Constants!$N$8*G13)+(I13/'Bdgt Yr 1'!$B$19*H13*Constants!$N$7),OR($B$13="Law Enforcement",J13=0),(I13*G13*Constants!$N$28)+(Constants!$N$29*G13)+(I13/'Bdgt Yr 1'!$B$19*H13*Constants!$N$28)),0)</f>
        <v>0</v>
      </c>
      <c r="L13" s="136">
        <f t="shared" ref="L13:L17" si="7">(+J13+K13)</f>
        <v>0</v>
      </c>
      <c r="M13" s="1299"/>
      <c r="N13" s="1260">
        <v>0</v>
      </c>
      <c r="O13" s="1261"/>
      <c r="P13" s="326">
        <f>IF(ISBLANK('Bdgt Yr 1'!$B$19),0,(N13/'Bdgt Yr 1'!$B$19))</f>
        <v>0</v>
      </c>
      <c r="Q13" s="29">
        <v>0</v>
      </c>
      <c r="R13" s="24">
        <f>I13*(1+'Budget Summary'!$G$35)</f>
        <v>0</v>
      </c>
      <c r="S13" s="506">
        <f>ROUNDUP(IF(ISBLANK('Bdgt Yr 1'!$B$12),0,(R13*P13)+(R13/'Bdgt Yr 1'!$B$12)*Q13),0)</f>
        <v>0</v>
      </c>
      <c r="T13" s="1583" cm="1">
        <f t="array" ref="T13">ROUNDUP(_xlfn.IFS(ISBLANK('Bdgt Yr 1'!$B$19),0,OR($B$13="ORP",S13=0),(R13*P13*Constants!$N$14)+(Constants!$N$15*P13)+(R13/'Bdgt Yr 1'!$B$19*Q13*Constants!$N$14),OR($B$13="TSERS",S13=0),(R13*P13*Constants!$N$7)+(Constants!$N$8*P13)+(R13/'Bdgt Yr 1'!$B$19*Q13*Constants!$N$7),OR($B$13="Law Enforcement",S13=0),(R13*P13*Constants!$N$28)+(Constants!$N$29*P13)+(R13/'Bdgt Yr 1'!$B$19*Q13*Constants!$N$28)),0)</f>
        <v>0</v>
      </c>
      <c r="U13" s="136">
        <f t="shared" ref="U13:U17" si="8">(+S13+T13)</f>
        <v>0</v>
      </c>
      <c r="V13" s="1227"/>
      <c r="W13" s="1260">
        <v>0</v>
      </c>
      <c r="X13" s="1261"/>
      <c r="Y13" s="326">
        <f>IF(ISBLANK('Bdgt Yr 1'!$B$19),0,(W13/'Bdgt Yr 1'!$B$19))</f>
        <v>0</v>
      </c>
      <c r="Z13" s="29">
        <v>0</v>
      </c>
      <c r="AA13" s="24">
        <f>R13*(1+'Budget Summary'!$G$35)</f>
        <v>0</v>
      </c>
      <c r="AB13" s="506">
        <f>ROUNDUP(IF(ISBLANK('Bdgt Yr 1'!$B$12),0,(AA13*Y13)+(AA13/'Bdgt Yr 1'!$B$12)*Z13),0)</f>
        <v>0</v>
      </c>
      <c r="AC13" s="1583" cm="1">
        <f t="array" ref="AC13">ROUNDUP(_xlfn.IFS(ISBLANK('Bdgt Yr 1'!$B$19),0,OR($B$13="ORP",AB13=0),(AA13*Y13*Constants!$N$14)+(Constants!$N$15*Y13)+(AA13/'Bdgt Yr 1'!$B$19*Z13*Constants!$N$14),OR($B$13="TSERS",AB13=0),(AA13*Y13*Constants!$N$7)+(Constants!$N$8*Y13)+(AA13/'Bdgt Yr 1'!$B$19*Z13*Constants!$N$7),OR($B$13="Law Enforcement",AB13=0),(AA13*Y13*Constants!$N$28)+(Constants!$N$29*Y13)+(AA13/'Bdgt Yr 1'!$B$19*Z13*Constants!$N$28)),0)</f>
        <v>0</v>
      </c>
      <c r="AD13" s="136">
        <f t="shared" ref="AD13:AD17" si="9">(+AB13+AC13)</f>
        <v>0</v>
      </c>
      <c r="AE13" s="1227"/>
      <c r="AF13" s="1260">
        <v>0</v>
      </c>
      <c r="AG13" s="1261"/>
      <c r="AH13" s="326">
        <f>IF(ISBLANK('Bdgt Yr 1'!$B$19),0,(AF13/'Bdgt Yr 1'!$B$19))</f>
        <v>0</v>
      </c>
      <c r="AI13" s="29">
        <v>0</v>
      </c>
      <c r="AJ13" s="24">
        <f>AA13*(1+'Budget Summary'!$G$35)</f>
        <v>0</v>
      </c>
      <c r="AK13" s="506">
        <f>ROUNDUP(IF(ISBLANK('Bdgt Yr 1'!$B$12),0,(AJ13*AH13)+(AJ13/'Bdgt Yr 1'!$B$12)*AI13),0)</f>
        <v>0</v>
      </c>
      <c r="AL13" s="1583" cm="1">
        <f t="array" ref="AL13">ROUNDUP(_xlfn.IFS(ISBLANK('Bdgt Yr 1'!$B$19),0,OR($B$13="ORP",AK13=0),(AJ13*AH13*Constants!$N$14)+(Constants!$N$15*AH13)+(AJ13/'Bdgt Yr 1'!$B$19*AI13*Constants!$N$14),OR($B$13="TSERS",AK13=0),(AJ13*AH13*Constants!$N$7)+(Constants!$N$8*AH13)+(AJ13/'Bdgt Yr 1'!$B$19*AI13*Constants!$N$7),OR($B$13="Law Enforcement",AK13=0),(AJ13*AH13*Constants!$N$28)+(Constants!$N$29*AH13)+(AJ13/'Bdgt Yr 1'!$B$19*AI13*Constants!$N$28)),0)</f>
        <v>0</v>
      </c>
      <c r="AM13" s="136">
        <f t="shared" ref="AM13:AM17" si="10">(+AK13+AL13)</f>
        <v>0</v>
      </c>
      <c r="AN13" s="1227"/>
      <c r="AO13" s="1260">
        <v>0</v>
      </c>
      <c r="AP13" s="1261"/>
      <c r="AQ13" s="326">
        <f>IF(ISBLANK('Bdgt Yr 1'!$B$19),0,(AO13/'Bdgt Yr 1'!$B$19))</f>
        <v>0</v>
      </c>
      <c r="AR13" s="29">
        <v>0</v>
      </c>
      <c r="AS13" s="24">
        <f>AJ13*(1+'Budget Summary'!$G$35)</f>
        <v>0</v>
      </c>
      <c r="AT13" s="506">
        <f>ROUNDUP(IF(ISBLANK('Bdgt Yr 1'!$B$12),0,(AS13*AQ13)+(AS13/'Bdgt Yr 1'!$B$12)*AR13),0)</f>
        <v>0</v>
      </c>
      <c r="AU13" s="1583" cm="1">
        <f t="array" ref="AU13">ROUNDUP(_xlfn.IFS(ISBLANK('Bdgt Yr 1'!$B$19),0,OR($B$13="ORP",AT13=0),(AS13*AQ13*Constants!$N$14)+(Constants!$N$15*AQ13)+(AS13/'Bdgt Yr 1'!$B$19*AR13*Constants!$N$14),OR($B$13="TSERS",AT13=0),(AS13*AQ13*Constants!$N$7)+(Constants!$N$8*AQ13)+(AS13/'Bdgt Yr 1'!$B$19*AR13*Constants!$N$7),OR($B$13="Law Enforcement",AT13=0),(AS13*AQ13*Constants!$N$28)+(Constants!$N$29*AQ13)+(AS13/'Bdgt Yr 1'!$B$19*AR13*Constants!$N$28)),0)</f>
        <v>0</v>
      </c>
      <c r="AV13" s="136">
        <f t="shared" ref="AV13:AV17" si="11">(+AT13+AU13)</f>
        <v>0</v>
      </c>
    </row>
    <row r="14" spans="1:48" ht="15" customHeight="1">
      <c r="A14" s="417" t="str">
        <f>IF(ISBLANK('Bdgt Yr 1'!B20),"",'Bdgt Yr 1'!B20)</f>
        <v/>
      </c>
      <c r="B14" s="417" t="str">
        <f>IF(ISBLANK('Bdgt Yr 1'!C20),"",'Bdgt Yr 1'!C20)</f>
        <v/>
      </c>
      <c r="C14" s="193" t="str">
        <f>T('Bdgt Yr 1'!E20)</f>
        <v/>
      </c>
      <c r="D14" s="331"/>
      <c r="E14" s="1233">
        <v>0</v>
      </c>
      <c r="F14" s="1234"/>
      <c r="G14" s="326">
        <f>IF(ISBLANK('Bdgt Yr 1'!$B$20),0,(E14/'Bdgt Yr 1'!$B$20))</f>
        <v>0</v>
      </c>
      <c r="H14" s="30">
        <v>0</v>
      </c>
      <c r="I14" s="24">
        <f>'Bdgt Yr 1'!J20</f>
        <v>0</v>
      </c>
      <c r="J14" s="506">
        <f>ROUNDUP(IF(ISBLANK('Bdgt Yr 1'!$B$12),0,(I14*G14)+(I14/'Bdgt Yr 1'!$B$12)*H14),0)</f>
        <v>0</v>
      </c>
      <c r="K14" s="1583" cm="1">
        <f t="array" ref="K14">ROUNDUP(_xlfn.IFS(ISBLANK('Bdgt Yr 1'!$B$20),0,OR($B$14="ORP",J14=0),(I14*G14*Constants!$N$14)+(Constants!$N$15*G14)+(I14/'Bdgt Yr 1'!$B$20*H14*Constants!$N$14),OR($B$14="TSERS",J14=0),(I14*G14*Constants!$N$7)+(Constants!$N$8*G14)+(I14/'Bdgt Yr 1'!$B$20*H14*Constants!$N$7),OR($B$14="Law Enforcement",J14=0),(I14*G14*Constants!$N$28)+(Constants!$N$29*G14)+(I14/'Bdgt Yr 1'!$B$20*H14*Constants!$N$28)),0)</f>
        <v>0</v>
      </c>
      <c r="L14" s="136">
        <f t="shared" si="7"/>
        <v>0</v>
      </c>
      <c r="M14" s="1299"/>
      <c r="N14" s="1233">
        <v>0</v>
      </c>
      <c r="O14" s="1234"/>
      <c r="P14" s="326">
        <f>IF(ISBLANK('Bdgt Yr 1'!$B$20),0,(N14/'Bdgt Yr 1'!$B$20))</f>
        <v>0</v>
      </c>
      <c r="Q14" s="29">
        <v>0</v>
      </c>
      <c r="R14" s="24">
        <f>I14*(1+'Budget Summary'!$G$35)</f>
        <v>0</v>
      </c>
      <c r="S14" s="506">
        <f>ROUNDUP(IF(ISBLANK('Bdgt Yr 1'!$B$12),0,(R14*P14)+(R14/'Bdgt Yr 1'!$B$12)*Q14),0)</f>
        <v>0</v>
      </c>
      <c r="T14" s="1583" cm="1">
        <f t="array" ref="T14">ROUNDUP(_xlfn.IFS(ISBLANK('Bdgt Yr 1'!$B$20),0,OR($B$14="ORP",S14=0),(R14*P14*Constants!$N$14)+(Constants!$N$15*P14)+(R14/'Bdgt Yr 1'!$B$20*Q14*Constants!$N$14),OR($B$14="TSERS",S14=0),(R14*P14*Constants!$N$7)+(Constants!$N$8*P14)+(R14/'Bdgt Yr 1'!$B$20*Q14*Constants!$N$7),OR($B$14="Law Enforcement",S14=0),(R14*P14*Constants!$N$28)+(Constants!$N$29*P14)+(R14/'Bdgt Yr 1'!$B$20*Q14*Constants!$N$28)),0)</f>
        <v>0</v>
      </c>
      <c r="U14" s="136">
        <f t="shared" si="8"/>
        <v>0</v>
      </c>
      <c r="V14" s="1227"/>
      <c r="W14" s="1233">
        <v>0</v>
      </c>
      <c r="X14" s="1234"/>
      <c r="Y14" s="326">
        <f>IF(ISBLANK('Bdgt Yr 1'!$B$20),0,(W14/'Bdgt Yr 1'!$B$20))</f>
        <v>0</v>
      </c>
      <c r="Z14" s="30">
        <v>0</v>
      </c>
      <c r="AA14" s="24">
        <f>R14*(1+'Budget Summary'!$G$35)</f>
        <v>0</v>
      </c>
      <c r="AB14" s="506">
        <f>ROUNDUP(IF(ISBLANK('Bdgt Yr 1'!$B$12),0,(AA14*Y14)+(AA14/'Bdgt Yr 1'!$B$12)*Z14),0)</f>
        <v>0</v>
      </c>
      <c r="AC14" s="1583" cm="1">
        <f t="array" ref="AC14">ROUNDUP(_xlfn.IFS(ISBLANK('Bdgt Yr 1'!$B$20),0,OR($B$14="ORP",AB14=0),(AA14*Y14*Constants!$N$14)+(Constants!$N$15*Y14)+(AA14/'Bdgt Yr 1'!$B$20*Z14*Constants!$N$14),OR($B$14="TSERS",AB14=0),(AA14*Y14*Constants!$N$7)+(Constants!$N$8*Y14)+(AA14/'Bdgt Yr 1'!$B$20*Z14*Constants!$N$7),OR($B$14="Law Enforcement",AB14=0),(AA14*Y14*Constants!$N$28)+(Constants!$N$29*Y14)+(AA14/'Bdgt Yr 1'!$B$20*Z14*Constants!$N$28)),0)</f>
        <v>0</v>
      </c>
      <c r="AD14" s="136">
        <f t="shared" si="9"/>
        <v>0</v>
      </c>
      <c r="AE14" s="1227"/>
      <c r="AF14" s="1233">
        <v>0</v>
      </c>
      <c r="AG14" s="1234"/>
      <c r="AH14" s="326">
        <f>IF(ISBLANK('Bdgt Yr 1'!$B$20),0,(AF14/'Bdgt Yr 1'!$B$20))</f>
        <v>0</v>
      </c>
      <c r="AI14" s="30">
        <v>0</v>
      </c>
      <c r="AJ14" s="24">
        <f>AA14*(1+'Budget Summary'!$G$35)</f>
        <v>0</v>
      </c>
      <c r="AK14" s="506">
        <f>ROUNDUP(IF(ISBLANK('Bdgt Yr 1'!$B$12),0,(AJ14*AH14)+(AJ14/'Bdgt Yr 1'!$B$12)*AI14),0)</f>
        <v>0</v>
      </c>
      <c r="AL14" s="1583" cm="1">
        <f t="array" ref="AL14">ROUNDUP(_xlfn.IFS(ISBLANK('Bdgt Yr 1'!$B$20),0,OR($B$14="ORP",AK14=0),(AJ14*AH14*Constants!$N$14)+(Constants!$N$15*AH14)+(AJ14/'Bdgt Yr 1'!$B$20*AI14*Constants!$N$14),OR($B$14="TSERS",AK14=0),(AJ14*AH14*Constants!$N$7)+(Constants!$N$8*AH14)+(AJ14/'Bdgt Yr 1'!$B$20*AI14*Constants!$N$7),OR($B$14="Law Enforcement",AK14=0),(AJ14*AH14*Constants!$N$28)+(Constants!$N$29*AH14)+(AJ14/'Bdgt Yr 1'!$B$20*AI14*Constants!$N$28)),0)</f>
        <v>0</v>
      </c>
      <c r="AM14" s="136">
        <f t="shared" si="10"/>
        <v>0</v>
      </c>
      <c r="AN14" s="1227"/>
      <c r="AO14" s="1233">
        <v>0</v>
      </c>
      <c r="AP14" s="1234"/>
      <c r="AQ14" s="326">
        <f>IF(ISBLANK('Bdgt Yr 1'!$B$20),0,(AO14/'Bdgt Yr 1'!$B$20))</f>
        <v>0</v>
      </c>
      <c r="AR14" s="30">
        <v>0</v>
      </c>
      <c r="AS14" s="24">
        <f>AJ14*(1+'Budget Summary'!$G$35)</f>
        <v>0</v>
      </c>
      <c r="AT14" s="506">
        <f>ROUNDUP(IF(ISBLANK('Bdgt Yr 1'!$B$12),0,(AS14*AQ14)+(AS14/'Bdgt Yr 1'!$B$12)*AR14),0)</f>
        <v>0</v>
      </c>
      <c r="AU14" s="1583" cm="1">
        <f t="array" ref="AU14">ROUNDUP(_xlfn.IFS(ISBLANK('Bdgt Yr 1'!$B$20),0,OR($B$14="ORP",AT14=0),(AS14*AQ14*Constants!$N$14)+(Constants!$N$15*AQ14)+(AS14/'Bdgt Yr 1'!$B$20*AR14*Constants!$N$14),OR($B$14="TSERS",AT14=0),(AS14*AQ14*Constants!$N$7)+(Constants!$N$8*AQ14)+(AS14/'Bdgt Yr 1'!$B$20*AR14*Constants!$N$7),OR($B$14="Law Enforcement",AT14=0),(AS14*AQ14*Constants!$N$28)+(Constants!$N$29*AQ14)+(AS14/'Bdgt Yr 1'!$B$20*AR14*Constants!$N$28)),0)</f>
        <v>0</v>
      </c>
      <c r="AV14" s="136">
        <f t="shared" si="11"/>
        <v>0</v>
      </c>
    </row>
    <row r="15" spans="1:48" ht="15" customHeight="1">
      <c r="A15" s="417" t="str">
        <f>IF(ISBLANK('Bdgt Yr 1'!B21),"",'Bdgt Yr 1'!B21)</f>
        <v/>
      </c>
      <c r="B15" s="417" t="str">
        <f>IF(ISBLANK('Bdgt Yr 1'!C21),"",'Bdgt Yr 1'!C21)</f>
        <v/>
      </c>
      <c r="C15" s="193" t="str">
        <f>T('Bdgt Yr 1'!E21)</f>
        <v/>
      </c>
      <c r="D15" s="331"/>
      <c r="E15" s="1233">
        <v>0</v>
      </c>
      <c r="F15" s="1234"/>
      <c r="G15" s="326">
        <f>IF(ISBLANK('Bdgt Yr 1'!$B$21),0,(E15/'Bdgt Yr 1'!$B$21))</f>
        <v>0</v>
      </c>
      <c r="H15" s="32">
        <v>0</v>
      </c>
      <c r="I15" s="24">
        <f>'Bdgt Yr 1'!J21</f>
        <v>0</v>
      </c>
      <c r="J15" s="506">
        <f>ROUNDUP(IF(ISBLANK('Bdgt Yr 1'!$B$12),0,(I15*G15)+(I15/'Bdgt Yr 1'!$B$12)*H15),0)</f>
        <v>0</v>
      </c>
      <c r="K15" s="1583" cm="1">
        <f t="array" ref="K15">ROUNDUP(_xlfn.IFS(ISBLANK('Bdgt Yr 1'!$B$21),0,OR($B$15="ORP",J15=0),(I15*G15*Constants!$N$14)+(Constants!$N$15*G15)+(I15/'Bdgt Yr 1'!$B$21*H15*Constants!$N$14),OR($B$15="TSERS",J15=0),(I15*G15*Constants!$N$7)+(Constants!$N$8*G15)+(I15/'Bdgt Yr 1'!$B$21*H15*Constants!$N$7),OR($B$15="Law Enforcement",J15=0),(I15*G15*Constants!$N$28)+(Constants!$N$29*G15)+(I15/'Bdgt Yr 1'!$B$21*H15*Constants!$N$28)),0)</f>
        <v>0</v>
      </c>
      <c r="L15" s="136">
        <f t="shared" si="7"/>
        <v>0</v>
      </c>
      <c r="M15" s="1299"/>
      <c r="N15" s="1233">
        <v>0</v>
      </c>
      <c r="O15" s="1234"/>
      <c r="P15" s="326">
        <f>IF(ISBLANK('Bdgt Yr 1'!$B$21),0,(N15/'Bdgt Yr 1'!$B$21))</f>
        <v>0</v>
      </c>
      <c r="Q15" s="32">
        <v>0</v>
      </c>
      <c r="R15" s="24">
        <f>I15*(1+'Budget Summary'!$G$35)</f>
        <v>0</v>
      </c>
      <c r="S15" s="506">
        <f>ROUNDUP(IF(ISBLANK('Bdgt Yr 1'!$B$12),0,(R15*P15)+(R15/'Bdgt Yr 1'!$B$12)*Q15),0)</f>
        <v>0</v>
      </c>
      <c r="T15" s="1583" cm="1">
        <f t="array" ref="T15">ROUNDUP(_xlfn.IFS(ISBLANK('Bdgt Yr 1'!$B$21),0,OR($B$15="ORP",S15=0),(R15*P15*Constants!$N$14)+(Constants!$N$15*P15)+(R15/'Bdgt Yr 1'!$B$21*Q15*Constants!$N$14),OR($B$15="TSERS",S15=0),(R15*P15*Constants!$N$7)+(Constants!$N$8*P15)+(R15/'Bdgt Yr 1'!$B$21*Q15*Constants!$N$7),OR($B$15="Law Enforcement",S15=0),(R15*P15*Constants!$N$28)+(Constants!$N$29*P15)+(R15/'Bdgt Yr 1'!$B$21*Q15*Constants!$N$28)),0)</f>
        <v>0</v>
      </c>
      <c r="U15" s="136">
        <f t="shared" si="8"/>
        <v>0</v>
      </c>
      <c r="V15" s="1227"/>
      <c r="W15" s="1233">
        <v>0</v>
      </c>
      <c r="X15" s="1234"/>
      <c r="Y15" s="326">
        <f>IF(ISBLANK('Bdgt Yr 1'!$B$21),0,(W15/'Bdgt Yr 1'!$B$21))</f>
        <v>0</v>
      </c>
      <c r="Z15" s="32">
        <v>0</v>
      </c>
      <c r="AA15" s="24">
        <f>R15*(1+'Budget Summary'!$G$35)</f>
        <v>0</v>
      </c>
      <c r="AB15" s="506">
        <f>ROUNDUP(IF(ISBLANK('Bdgt Yr 1'!$B$12),0,(AA15*Y15)+(AA15/'Bdgt Yr 1'!$B$12)*Z15),0)</f>
        <v>0</v>
      </c>
      <c r="AC15" s="1583" cm="1">
        <f t="array" ref="AC15">ROUNDUP(_xlfn.IFS(ISBLANK('Bdgt Yr 1'!$B$21),0,OR($B$15="ORP",AB15=0),(AA15*Y15*Constants!$N$14)+(Constants!$N$15*Y15)+(AA15/'Bdgt Yr 1'!$B$21*Z15*Constants!$N$14),OR($B$15="TSERS",AB15=0),(AA15*Y15*Constants!$N$7)+(Constants!$N$8*Y15)+(AA15/'Bdgt Yr 1'!$B$21*Z15*Constants!$N$7),OR($B$15="Law Enforcement",AB15=0),(AA15*Y15*Constants!$N$28)+(Constants!$N$29*Y15)+(AA15/'Bdgt Yr 1'!$B$21*Z15*Constants!$N$28)),0)</f>
        <v>0</v>
      </c>
      <c r="AD15" s="136">
        <f t="shared" si="9"/>
        <v>0</v>
      </c>
      <c r="AE15" s="1227"/>
      <c r="AF15" s="1233">
        <v>0</v>
      </c>
      <c r="AG15" s="1234"/>
      <c r="AH15" s="326">
        <f>IF(ISBLANK('Bdgt Yr 1'!$B$21),0,(AF15/'Bdgt Yr 1'!$B$21))</f>
        <v>0</v>
      </c>
      <c r="AI15" s="32">
        <v>0</v>
      </c>
      <c r="AJ15" s="24">
        <f>AA15*(1+'Budget Summary'!$G$35)</f>
        <v>0</v>
      </c>
      <c r="AK15" s="506">
        <f>ROUNDUP(IF(ISBLANK('Bdgt Yr 1'!$B$12),0,(AJ15*AH15)+(AJ15/'Bdgt Yr 1'!$B$12)*AI15),0)</f>
        <v>0</v>
      </c>
      <c r="AL15" s="1583" cm="1">
        <f t="array" ref="AL15">ROUNDUP(_xlfn.IFS(ISBLANK('Bdgt Yr 1'!$B$21),0,OR($B$15="ORP",AK15=0),(AJ15*AH15*Constants!$N$14)+(Constants!$N$15*AH15)+(AJ15/'Bdgt Yr 1'!$B$21*AI15*Constants!$N$14),OR($B$15="TSERS",AK15=0),(AJ15*AH15*Constants!$N$7)+(Constants!$N$8*AH15)+(AJ15/'Bdgt Yr 1'!$B$21*AI15*Constants!$N$7),OR($B$15="Law Enforcement",AK15=0),(AJ15*AH15*Constants!$N$28)+(Constants!$N$29*AH15)+(AJ15/'Bdgt Yr 1'!$B$21*AI15*Constants!$N$28)),0)</f>
        <v>0</v>
      </c>
      <c r="AM15" s="136">
        <f t="shared" si="10"/>
        <v>0</v>
      </c>
      <c r="AN15" s="1227"/>
      <c r="AO15" s="1233">
        <v>0</v>
      </c>
      <c r="AP15" s="1234"/>
      <c r="AQ15" s="326">
        <f>IF(ISBLANK('Bdgt Yr 1'!$B$21),0,(AO15/'Bdgt Yr 1'!$B$21))</f>
        <v>0</v>
      </c>
      <c r="AR15" s="32">
        <v>0</v>
      </c>
      <c r="AS15" s="24">
        <f>AJ15*(1+'Budget Summary'!$G$35)</f>
        <v>0</v>
      </c>
      <c r="AT15" s="506">
        <f>ROUNDUP(IF(ISBLANK('Bdgt Yr 1'!$B$12),0,(AS15*AQ15)+(AS15/'Bdgt Yr 1'!$B$12)*AR15),0)</f>
        <v>0</v>
      </c>
      <c r="AU15" s="1583" cm="1">
        <f t="array" ref="AU15">ROUNDUP(_xlfn.IFS(ISBLANK('Bdgt Yr 1'!$B$21),0,OR($B$15="ORP",AT15=0),(AS15*AQ15*Constants!$N$14)+(Constants!$N$15*AQ15)+(AS15/'Bdgt Yr 1'!$B$21*AR15*Constants!$N$14),OR($B$15="TSERS",AT15=0),(AS15*AQ15*Constants!$N$7)+(Constants!$N$8*AQ15)+(AS15/'Bdgt Yr 1'!$B$21*AR15*Constants!$N$7),OR($B$15="Law Enforcement",AT15=0),(AS15*AQ15*Constants!$N$28)+(Constants!$N$29*AQ15)+(AS15/'Bdgt Yr 1'!$B$21*AR15*Constants!$N$28)),0)</f>
        <v>0</v>
      </c>
      <c r="AV15" s="136">
        <f t="shared" si="11"/>
        <v>0</v>
      </c>
    </row>
    <row r="16" spans="1:48" ht="15" customHeight="1">
      <c r="A16" s="417" t="str">
        <f>IF(ISBLANK('Bdgt Yr 1'!B22),"",'Bdgt Yr 1'!B22)</f>
        <v/>
      </c>
      <c r="B16" s="417" t="str">
        <f>IF(ISBLANK('Bdgt Yr 1'!C22),"",'Bdgt Yr 1'!C22)</f>
        <v/>
      </c>
      <c r="C16" s="193" t="str">
        <f>T('Bdgt Yr 1'!E22)</f>
        <v xml:space="preserve"> </v>
      </c>
      <c r="D16" s="331"/>
      <c r="E16" s="1233">
        <v>0</v>
      </c>
      <c r="F16" s="1234"/>
      <c r="G16" s="326">
        <f>IF(ISBLANK('Bdgt Yr 1'!$B$22),0,(E16/'Bdgt Yr 1'!$B$22))</f>
        <v>0</v>
      </c>
      <c r="H16" s="33">
        <v>0</v>
      </c>
      <c r="I16" s="24">
        <f>'Bdgt Yr 1'!J22</f>
        <v>0</v>
      </c>
      <c r="J16" s="506">
        <f>ROUNDUP(IF(ISBLANK('Bdgt Yr 1'!$B$12),0,(I16*G16)+(I16/'Bdgt Yr 1'!$B$12)*H16),0)</f>
        <v>0</v>
      </c>
      <c r="K16" s="1583" cm="1">
        <f t="array" ref="K16">ROUNDUP(_xlfn.IFS(ISBLANK('Bdgt Yr 1'!$B$22),0,OR($B$16="ORP",J16=0),(I16*G16*Constants!$N$14)+(Constants!$N$15*G16)+(I16/'Bdgt Yr 1'!$B$22*H16*Constants!$N$14),OR($B$16="TSERS",J16=0),(I16*G16*Constants!$N$7)+(Constants!$N$8*G16)+(I16/'Bdgt Yr 1'!$B$22*H16*Constants!$N$7),OR($B$16="Law Enforcement",J16=0),(I16*G16*Constants!$N$28)+(Constants!$N$29*G16)+(I16/'Bdgt Yr 1'!$B$22*H16*Constants!$N$28)),0)</f>
        <v>0</v>
      </c>
      <c r="L16" s="136">
        <f t="shared" si="7"/>
        <v>0</v>
      </c>
      <c r="M16" s="1299"/>
      <c r="N16" s="1233">
        <v>0</v>
      </c>
      <c r="O16" s="1234"/>
      <c r="P16" s="326">
        <f>IF(ISBLANK('Bdgt Yr 1'!$B$22),0,(N16/'Bdgt Yr 1'!$B$22))</f>
        <v>0</v>
      </c>
      <c r="Q16" s="33">
        <v>0</v>
      </c>
      <c r="R16" s="24">
        <f>I16*(1+'Budget Summary'!$G$35)</f>
        <v>0</v>
      </c>
      <c r="S16" s="506">
        <f>ROUNDUP(IF(ISBLANK('Bdgt Yr 1'!$B$12),0,(R16*P16)+(R16/'Bdgt Yr 1'!$B$12)*Q16),0)</f>
        <v>0</v>
      </c>
      <c r="T16" s="1583" cm="1">
        <f t="array" ref="T16">ROUNDUP(_xlfn.IFS(ISBLANK('Bdgt Yr 1'!$B$22),0,OR($B$16="ORP",S16=0),(R16*P16*Constants!$N$14)+(Constants!$N$15*P16)+(R16/'Bdgt Yr 1'!$B$22*Q16*Constants!$N$14),OR($B$16="TSERS",S16=0),(R16*P16*Constants!$N$7)+(Constants!$N$8*P16)+(R16/'Bdgt Yr 1'!$B$22*Q16*Constants!$N$7),OR($B$16="Law Enforcement",S16=0),(R16*P16*Constants!$N$28)+(Constants!$N$29*P16)+(R16/'Bdgt Yr 1'!$B$22*Q16*Constants!$N$28)),0)</f>
        <v>0</v>
      </c>
      <c r="U16" s="136">
        <f t="shared" si="8"/>
        <v>0</v>
      </c>
      <c r="V16" s="1227"/>
      <c r="W16" s="1233">
        <v>0</v>
      </c>
      <c r="X16" s="1234"/>
      <c r="Y16" s="326">
        <f>IF(ISBLANK('Bdgt Yr 1'!$B$22),0,(W16/'Bdgt Yr 1'!$B$22))</f>
        <v>0</v>
      </c>
      <c r="Z16" s="33">
        <v>0</v>
      </c>
      <c r="AA16" s="24">
        <f>R16*(1+'Budget Summary'!$G$35)</f>
        <v>0</v>
      </c>
      <c r="AB16" s="506">
        <f>ROUNDUP(IF(ISBLANK('Bdgt Yr 1'!$B$12),0,(AA16*Y16)+(AA16/'Bdgt Yr 1'!$B$12)*Z16),0)</f>
        <v>0</v>
      </c>
      <c r="AC16" s="1583" cm="1">
        <f t="array" ref="AC16">ROUNDUP(_xlfn.IFS(ISBLANK('Bdgt Yr 1'!$B$22),0,OR($B$16="ORP",AB16=0),(AA16*Y16*Constants!$N$14)+(Constants!$N$15*Y16)+(AA16/'Bdgt Yr 1'!$B$22*Z16*Constants!$N$14),OR($B$16="TSERS",AB16=0),(AA16*Y16*Constants!$N$7)+(Constants!$N$8*Y16)+(AA16/'Bdgt Yr 1'!$B$22*Z16*Constants!$N$7),OR($B$16="Law Enforcement",AB16=0),(AA16*Y16*Constants!$N$28)+(Constants!$N$29*Y16)+(AA16/'Bdgt Yr 1'!$B$22*Z16*Constants!$N$28)),0)</f>
        <v>0</v>
      </c>
      <c r="AD16" s="136">
        <f t="shared" si="9"/>
        <v>0</v>
      </c>
      <c r="AE16" s="1227"/>
      <c r="AF16" s="1233">
        <v>0</v>
      </c>
      <c r="AG16" s="1234"/>
      <c r="AH16" s="326">
        <f>IF(ISBLANK('Bdgt Yr 1'!$B$22),0,(AF16/'Bdgt Yr 1'!$B$22))</f>
        <v>0</v>
      </c>
      <c r="AI16" s="33">
        <v>0</v>
      </c>
      <c r="AJ16" s="24">
        <f>AA16*(1+'Budget Summary'!$G$35)</f>
        <v>0</v>
      </c>
      <c r="AK16" s="506">
        <f>ROUNDUP(IF(ISBLANK('Bdgt Yr 1'!$B$12),0,(AJ16*AH16)+(AJ16/'Bdgt Yr 1'!$B$12)*AI16),0)</f>
        <v>0</v>
      </c>
      <c r="AL16" s="1583" cm="1">
        <f t="array" ref="AL16">ROUNDUP(_xlfn.IFS(ISBLANK('Bdgt Yr 1'!$B$22),0,OR($B$16="ORP",AK16=0),(AJ16*AH16*Constants!$N$14)+(Constants!$N$15*AH16)+(AJ16/'Bdgt Yr 1'!$B$22*AI16*Constants!$N$14),OR($B$16="TSERS",AK16=0),(AJ16*AH16*Constants!$N$7)+(Constants!$N$8*AH16)+(AJ16/'Bdgt Yr 1'!$B$22*AI16*Constants!$N$7),OR($B$16="Law Enforcement",AK16=0),(AJ16*AH16*Constants!$N$28)+(Constants!$N$29*AH16)+(AJ16/'Bdgt Yr 1'!$B$22*AI16*Constants!$N$28)),0)</f>
        <v>0</v>
      </c>
      <c r="AM16" s="136">
        <f t="shared" si="10"/>
        <v>0</v>
      </c>
      <c r="AN16" s="1227"/>
      <c r="AO16" s="1233">
        <v>0</v>
      </c>
      <c r="AP16" s="1234"/>
      <c r="AQ16" s="326">
        <f>IF(ISBLANK('Bdgt Yr 1'!$B$22),0,(AO16/'Bdgt Yr 1'!$B$22))</f>
        <v>0</v>
      </c>
      <c r="AR16" s="33">
        <v>0</v>
      </c>
      <c r="AS16" s="24">
        <f>AJ16*(1+'Budget Summary'!$G$35)</f>
        <v>0</v>
      </c>
      <c r="AT16" s="506">
        <f>ROUNDUP(IF(ISBLANK('Bdgt Yr 1'!$B$12),0,(AS16*AQ16)+(AS16/'Bdgt Yr 1'!$B$12)*AR16),0)</f>
        <v>0</v>
      </c>
      <c r="AU16" s="1583" cm="1">
        <f t="array" ref="AU16">ROUNDUP(_xlfn.IFS(ISBLANK('Bdgt Yr 1'!$B$22),0,OR($B$16="ORP",AT16=0),(AS16*AQ16*Constants!$N$14)+(Constants!$N$15*AQ16)+(AS16/'Bdgt Yr 1'!$B$22*AR16*Constants!$N$14),OR($B$16="TSERS",AT16=0),(AS16*AQ16*Constants!$N$7)+(Constants!$N$8*AQ16)+(AS16/'Bdgt Yr 1'!$B$22*AR16*Constants!$N$7),OR($B$16="Law Enforcement",AT16=0),(AS16*AQ16*Constants!$N$28)+(Constants!$N$29*AQ16)+(AS16/'Bdgt Yr 1'!$B$22*AR16*Constants!$N$28)),0)</f>
        <v>0</v>
      </c>
      <c r="AV16" s="136">
        <f t="shared" si="11"/>
        <v>0</v>
      </c>
    </row>
    <row r="17" spans="1:48" ht="15.75" customHeight="1" thickBot="1">
      <c r="A17" s="417" t="str">
        <f>IF(ISBLANK('Bdgt Yr 1'!B23),"",'Bdgt Yr 1'!B23)</f>
        <v/>
      </c>
      <c r="B17" s="417" t="str">
        <f>IF(ISBLANK('Bdgt Yr 1'!C23),"",'Bdgt Yr 1'!C23)</f>
        <v/>
      </c>
      <c r="C17" s="192" t="str">
        <f>T('Bdgt Yr 1'!E23)</f>
        <v/>
      </c>
      <c r="D17" s="331"/>
      <c r="E17" s="1272">
        <v>0</v>
      </c>
      <c r="F17" s="1273"/>
      <c r="G17" s="326">
        <f>IF(ISBLANK('Bdgt Yr 1'!$B$23),0,(E17/'Bdgt Yr 1'!$B$23))</f>
        <v>0</v>
      </c>
      <c r="H17" s="54">
        <v>0</v>
      </c>
      <c r="I17" s="35">
        <f>'Bdgt Yr 1'!J23</f>
        <v>0</v>
      </c>
      <c r="J17" s="506">
        <f>ROUNDUP(IF(ISBLANK('Bdgt Yr 1'!$B$12),0,(I17*G17)+(I17/'Bdgt Yr 1'!$B$12)*H17),0)</f>
        <v>0</v>
      </c>
      <c r="K17" s="1583" cm="1">
        <f t="array" ref="K17">ROUNDUP(_xlfn.IFS(ISBLANK('Bdgt Yr 1'!$B$23),0,OR($B$17="ORP",J17=0),(I17*G17*Constants!$N$14)+(Constants!$N$15*G17)+(I17/'Bdgt Yr 1'!$B$23*H17*Constants!$N$14),OR($B$17="TSERS",J17=0),(I17*G17*Constants!$N$7)+(Constants!$N$8*G17)+(I17/'Bdgt Yr 1'!$B$23*H17*Constants!$N$7),OR($B$17="Law Enforcement",J17=0),(I17*G17*Constants!$N$28)+(Constants!$N$29*G17)+(I17/'Bdgt Yr 1'!$B$23*H17*Constants!$N$28)),0)</f>
        <v>0</v>
      </c>
      <c r="L17" s="137">
        <f t="shared" si="7"/>
        <v>0</v>
      </c>
      <c r="M17" s="1299"/>
      <c r="N17" s="1272">
        <v>0</v>
      </c>
      <c r="O17" s="1273"/>
      <c r="P17" s="326">
        <f>IF(ISBLANK('Bdgt Yr 1'!$B$23),0,(N17/'Bdgt Yr 1'!$B$23))</f>
        <v>0</v>
      </c>
      <c r="Q17" s="54">
        <v>0</v>
      </c>
      <c r="R17" s="24">
        <f>I17*(1+'Budget Summary'!$G$35)</f>
        <v>0</v>
      </c>
      <c r="S17" s="506">
        <f>ROUNDUP(IF(ISBLANK('Bdgt Yr 1'!$B$12),0,(R17*P17)+(R17/'Bdgt Yr 1'!$B$12)*Q17),0)</f>
        <v>0</v>
      </c>
      <c r="T17" s="1583" cm="1">
        <f t="array" ref="T17">ROUNDUP(_xlfn.IFS(ISBLANK('Bdgt Yr 1'!$B$23),0,OR($B$17="ORP",S17=0),(R17*P17*Constants!$N$14)+(Constants!$N$15*P17)+(R17/'Bdgt Yr 1'!$B$23*Q17*Constants!$N$14),OR($B$17="TSERS",S17=0),(R17*P17*Constants!$N$7)+(Constants!$N$8*P17)+(R17/'Bdgt Yr 1'!$B$23*Q17*Constants!$N$7),OR($B$17="Law Enforcement",S17=0),(R17*P17*Constants!$N$28)+(Constants!$N$29*P17)+(R17/'Bdgt Yr 1'!$B$23*Q17*Constants!$N$28)),0)</f>
        <v>0</v>
      </c>
      <c r="U17" s="137">
        <f t="shared" si="8"/>
        <v>0</v>
      </c>
      <c r="V17" s="1227"/>
      <c r="W17" s="1272">
        <v>0</v>
      </c>
      <c r="X17" s="1273"/>
      <c r="Y17" s="326">
        <f>IF(ISBLANK('Bdgt Yr 1'!$B$23),0,(W17/'Bdgt Yr 1'!$B$23))</f>
        <v>0</v>
      </c>
      <c r="Z17" s="54">
        <v>0</v>
      </c>
      <c r="AA17" s="24">
        <f>R17*(1+'Budget Summary'!$G$35)</f>
        <v>0</v>
      </c>
      <c r="AB17" s="506">
        <f>ROUNDUP(IF(ISBLANK('Bdgt Yr 1'!$B$12),0,(AA17*Y17)+(AA17/'Bdgt Yr 1'!$B$12)*Z17),0)</f>
        <v>0</v>
      </c>
      <c r="AC17" s="1583" cm="1">
        <f t="array" ref="AC17">ROUNDUP(_xlfn.IFS(ISBLANK('Bdgt Yr 1'!$B$23),0,OR($B$17="ORP",AB17=0),(AA17*Y17*Constants!$N$14)+(Constants!$N$15*Y17)+(AA17/'Bdgt Yr 1'!$B$23*Z17*Constants!$N$14),OR($B$17="TSERS",AB17=0),(AA17*Y17*Constants!$N$7)+(Constants!$N$8*Y17)+(AA17/'Bdgt Yr 1'!$B$23*Z17*Constants!$N$7),OR($B$17="Law Enforcement",AB17=0),(AA17*Y17*Constants!$N$28)+(Constants!$N$29*Y17)+(AA17/'Bdgt Yr 1'!$B$23*Z17*Constants!$N$28)),0)</f>
        <v>0</v>
      </c>
      <c r="AD17" s="137">
        <f t="shared" si="9"/>
        <v>0</v>
      </c>
      <c r="AE17" s="1227"/>
      <c r="AF17" s="1272">
        <v>0</v>
      </c>
      <c r="AG17" s="1273"/>
      <c r="AH17" s="326">
        <f>IF(ISBLANK('Bdgt Yr 1'!$B$23),0,(AF17/'Bdgt Yr 1'!$B$23))</f>
        <v>0</v>
      </c>
      <c r="AI17" s="54">
        <v>0</v>
      </c>
      <c r="AJ17" s="24">
        <f>AA17*(1+'Budget Summary'!$G$35)</f>
        <v>0</v>
      </c>
      <c r="AK17" s="506">
        <f>ROUNDUP(IF(ISBLANK('Bdgt Yr 1'!$B$12),0,(AJ17*AH17)+(AJ17/'Bdgt Yr 1'!$B$12)*AI17),0)</f>
        <v>0</v>
      </c>
      <c r="AL17" s="1583" cm="1">
        <f t="array" ref="AL17">ROUNDUP(_xlfn.IFS(ISBLANK('Bdgt Yr 1'!$B$23),0,OR($B$17="ORP",AK17=0),(AJ17*AH17*Constants!$N$14)+(Constants!$N$15*AH17)+(AJ17/'Bdgt Yr 1'!$B$23*AI17*Constants!$N$14),OR($B$17="TSERS",AK17=0),(AJ17*AH17*Constants!$N$7)+(Constants!$N$8*AH17)+(AJ17/'Bdgt Yr 1'!$B$23*AI17*Constants!$N$7),OR($B$17="Law Enforcement",AK17=0),(AJ17*AH17*Constants!$N$28)+(Constants!$N$29*AH17)+(AJ17/'Bdgt Yr 1'!$B$23*AI17*Constants!$N$28)),0)</f>
        <v>0</v>
      </c>
      <c r="AM17" s="137">
        <f t="shared" si="10"/>
        <v>0</v>
      </c>
      <c r="AN17" s="1227"/>
      <c r="AO17" s="1272">
        <v>0</v>
      </c>
      <c r="AP17" s="1273"/>
      <c r="AQ17" s="326">
        <f>IF(ISBLANK('Bdgt Yr 1'!$B$23),0,(AO17/'Bdgt Yr 1'!$B$23))</f>
        <v>0</v>
      </c>
      <c r="AR17" s="54">
        <v>0</v>
      </c>
      <c r="AS17" s="24">
        <f>AJ17*(1+'Budget Summary'!$G$35)</f>
        <v>0</v>
      </c>
      <c r="AT17" s="506">
        <f>ROUNDUP(IF(ISBLANK('Bdgt Yr 1'!$B$12),0,(AS17*AQ17)+(AS17/'Bdgt Yr 1'!$B$12)*AR17),0)</f>
        <v>0</v>
      </c>
      <c r="AU17" s="1583" cm="1">
        <f t="array" ref="AU17">ROUNDUP(_xlfn.IFS(ISBLANK('Bdgt Yr 1'!$B$23),0,OR($B$17="ORP",AT17=0),(AS17*AQ17*Constants!$N$14)+(Constants!$N$15*AQ17)+(AS17/'Bdgt Yr 1'!$B$23*AR17*Constants!$N$14),OR($B$17="TSERS",AT17=0),(AS17*AQ17*Constants!$N$7)+(Constants!$N$8*AQ17)+(AS17/'Bdgt Yr 1'!$B$23*AR17*Constants!$N$7),OR($B$17="Law Enforcement",AT17=0),(AS17*AQ17*Constants!$N$28)+(Constants!$N$29*AQ17)+(AS17/'Bdgt Yr 1'!$B$23*AR17*Constants!$N$28)),0)</f>
        <v>0</v>
      </c>
      <c r="AV17" s="137">
        <f t="shared" si="11"/>
        <v>0</v>
      </c>
    </row>
    <row r="18" spans="1:48" ht="15.75" customHeight="1" thickBot="1">
      <c r="A18" s="1309" t="s">
        <v>155</v>
      </c>
      <c r="B18" s="1310"/>
      <c r="C18" s="1311"/>
      <c r="D18" s="331"/>
      <c r="E18" s="306"/>
      <c r="F18" s="305"/>
      <c r="G18" s="305"/>
      <c r="H18" s="305"/>
      <c r="I18" s="305"/>
      <c r="J18" s="313">
        <f>SUM(J6:J17)</f>
        <v>0</v>
      </c>
      <c r="K18" s="314">
        <f>SUM(K6:K17)</f>
        <v>0</v>
      </c>
      <c r="L18" s="315">
        <f>SUM(L6:L17)</f>
        <v>0</v>
      </c>
      <c r="M18" s="1299"/>
      <c r="N18" s="306"/>
      <c r="O18" s="305"/>
      <c r="P18" s="305"/>
      <c r="Q18" s="305"/>
      <c r="R18" s="305"/>
      <c r="S18" s="313">
        <f>SUM(S6:S17)</f>
        <v>0</v>
      </c>
      <c r="T18" s="314">
        <f>SUM(T6:T17)</f>
        <v>0</v>
      </c>
      <c r="U18" s="315">
        <f>SUM(U6:U17)</f>
        <v>0</v>
      </c>
      <c r="V18" s="1227"/>
      <c r="W18" s="306"/>
      <c r="X18" s="305"/>
      <c r="Y18" s="305"/>
      <c r="Z18" s="305"/>
      <c r="AA18" s="305"/>
      <c r="AB18" s="313">
        <f>SUM(AB6:AB17)</f>
        <v>0</v>
      </c>
      <c r="AC18" s="314">
        <f>SUM(AC6:AC17)</f>
        <v>0</v>
      </c>
      <c r="AD18" s="315">
        <f>SUM(AD6:AD17)</f>
        <v>0</v>
      </c>
      <c r="AE18" s="1227"/>
      <c r="AF18" s="306"/>
      <c r="AG18" s="305"/>
      <c r="AH18" s="305"/>
      <c r="AI18" s="305"/>
      <c r="AJ18" s="305"/>
      <c r="AK18" s="313">
        <f>SUM(AK6:AK17)</f>
        <v>0</v>
      </c>
      <c r="AL18" s="1584">
        <f>SUM(AL6:AL17)</f>
        <v>0</v>
      </c>
      <c r="AM18" s="315">
        <f>SUM(AM6:AM17)</f>
        <v>0</v>
      </c>
      <c r="AN18" s="1227"/>
      <c r="AO18" s="306"/>
      <c r="AP18" s="305"/>
      <c r="AQ18" s="305"/>
      <c r="AR18" s="305"/>
      <c r="AS18" s="305"/>
      <c r="AT18" s="313">
        <f>SUM(AT6:AT17)</f>
        <v>0</v>
      </c>
      <c r="AU18" s="314">
        <f>SUM(AU6:AU17)</f>
        <v>0</v>
      </c>
      <c r="AV18" s="315">
        <f>SUM(AV6:AV17)</f>
        <v>0</v>
      </c>
    </row>
    <row r="19" spans="1:48" ht="15" customHeight="1">
      <c r="A19" s="1307" t="s">
        <v>264</v>
      </c>
      <c r="B19" s="1307"/>
      <c r="C19" s="1308"/>
      <c r="D19" s="331"/>
      <c r="E19" s="103"/>
      <c r="F19" s="63"/>
      <c r="G19" s="63"/>
      <c r="H19" s="63"/>
      <c r="I19" s="63"/>
      <c r="J19" s="63"/>
      <c r="K19" s="63"/>
      <c r="L19" s="130"/>
      <c r="M19" s="1299"/>
      <c r="N19" s="1267"/>
      <c r="O19" s="1268"/>
      <c r="P19" s="1268"/>
      <c r="Q19" s="1268"/>
      <c r="R19" s="1268"/>
      <c r="S19" s="1268"/>
      <c r="T19" s="1268"/>
      <c r="U19" s="1269"/>
      <c r="V19" s="1227"/>
      <c r="W19" s="1267"/>
      <c r="X19" s="1268"/>
      <c r="Y19" s="1268"/>
      <c r="Z19" s="1268"/>
      <c r="AA19" s="1268"/>
      <c r="AB19" s="1268"/>
      <c r="AC19" s="1268"/>
      <c r="AD19" s="1269"/>
      <c r="AE19" s="1227"/>
      <c r="AF19" s="1267"/>
      <c r="AG19" s="1268"/>
      <c r="AH19" s="1268"/>
      <c r="AI19" s="1268"/>
      <c r="AJ19" s="1268"/>
      <c r="AK19" s="1268"/>
      <c r="AL19" s="1268"/>
      <c r="AM19" s="1269"/>
      <c r="AN19" s="1227"/>
      <c r="AO19" s="1267"/>
      <c r="AP19" s="1268"/>
      <c r="AQ19" s="1268"/>
      <c r="AR19" s="1268"/>
      <c r="AS19" s="1268"/>
      <c r="AT19" s="1268"/>
      <c r="AU19" s="1268"/>
      <c r="AV19" s="1269"/>
    </row>
    <row r="20" spans="1:48" s="159" customFormat="1" ht="29.25" customHeight="1">
      <c r="A20" s="1345" t="s">
        <v>265</v>
      </c>
      <c r="B20" s="1345"/>
      <c r="C20" s="191" t="s">
        <v>159</v>
      </c>
      <c r="D20" s="331"/>
      <c r="E20" s="1286" t="s">
        <v>140</v>
      </c>
      <c r="F20" s="1287"/>
      <c r="G20" s="247" t="s">
        <v>160</v>
      </c>
      <c r="H20" s="155"/>
      <c r="I20" s="248" t="s">
        <v>143</v>
      </c>
      <c r="J20" s="248" t="s">
        <v>161</v>
      </c>
      <c r="K20" s="248" t="s">
        <v>145</v>
      </c>
      <c r="L20" s="249" t="s">
        <v>146</v>
      </c>
      <c r="M20" s="1299"/>
      <c r="N20" s="1286" t="s">
        <v>140</v>
      </c>
      <c r="O20" s="1287"/>
      <c r="P20" s="247" t="s">
        <v>160</v>
      </c>
      <c r="Q20" s="155"/>
      <c r="R20" s="248" t="s">
        <v>143</v>
      </c>
      <c r="S20" s="248" t="s">
        <v>161</v>
      </c>
      <c r="T20" s="248" t="s">
        <v>145</v>
      </c>
      <c r="U20" s="249" t="s">
        <v>146</v>
      </c>
      <c r="V20" s="1227"/>
      <c r="W20" s="1286" t="s">
        <v>140</v>
      </c>
      <c r="X20" s="1287"/>
      <c r="Y20" s="247" t="s">
        <v>160</v>
      </c>
      <c r="Z20" s="155"/>
      <c r="AA20" s="248" t="s">
        <v>143</v>
      </c>
      <c r="AB20" s="248" t="s">
        <v>161</v>
      </c>
      <c r="AC20" s="248" t="s">
        <v>145</v>
      </c>
      <c r="AD20" s="249" t="s">
        <v>146</v>
      </c>
      <c r="AE20" s="1227"/>
      <c r="AF20" s="1286" t="s">
        <v>140</v>
      </c>
      <c r="AG20" s="1287"/>
      <c r="AH20" s="247" t="s">
        <v>160</v>
      </c>
      <c r="AI20" s="155"/>
      <c r="AJ20" s="248" t="s">
        <v>143</v>
      </c>
      <c r="AK20" s="248" t="s">
        <v>161</v>
      </c>
      <c r="AL20" s="248" t="s">
        <v>145</v>
      </c>
      <c r="AM20" s="249" t="s">
        <v>146</v>
      </c>
      <c r="AN20" s="1227"/>
      <c r="AO20" s="1286" t="s">
        <v>140</v>
      </c>
      <c r="AP20" s="1287"/>
      <c r="AQ20" s="247" t="s">
        <v>160</v>
      </c>
      <c r="AR20" s="155"/>
      <c r="AS20" s="248" t="s">
        <v>143</v>
      </c>
      <c r="AT20" s="248" t="s">
        <v>161</v>
      </c>
      <c r="AU20" s="248" t="s">
        <v>145</v>
      </c>
      <c r="AV20" s="249" t="s">
        <v>146</v>
      </c>
    </row>
    <row r="21" spans="1:48" ht="15" customHeight="1">
      <c r="A21" s="1346"/>
      <c r="B21" s="1346"/>
      <c r="C21" s="319" t="str">
        <f>T('Bdgt Yr 1'!D30)</f>
        <v xml:space="preserve"> </v>
      </c>
      <c r="D21" s="331"/>
      <c r="E21" s="1284">
        <v>0</v>
      </c>
      <c r="F21" s="1285"/>
      <c r="G21" s="327">
        <f>E21/12</f>
        <v>0</v>
      </c>
      <c r="H21" s="37"/>
      <c r="I21" s="24">
        <v>0</v>
      </c>
      <c r="J21" s="24">
        <f>I21*G21</f>
        <v>0</v>
      </c>
      <c r="K21" s="34">
        <f>IF(G21=0,-Constants!$N$21*G21)+(J21*Constants!$N$20)+(Constants!$N$21*E21)</f>
        <v>0</v>
      </c>
      <c r="L21" s="138">
        <f>(+J21+K21)</f>
        <v>0</v>
      </c>
      <c r="M21" s="1299"/>
      <c r="N21" s="1284">
        <v>0</v>
      </c>
      <c r="O21" s="1285"/>
      <c r="P21" s="327">
        <f>N21/12</f>
        <v>0</v>
      </c>
      <c r="Q21" s="37"/>
      <c r="R21" s="24">
        <f>I21*(1+'Budget Summary'!$G$35)</f>
        <v>0</v>
      </c>
      <c r="S21" s="38">
        <f>R21*P21</f>
        <v>0</v>
      </c>
      <c r="T21" s="34">
        <f>IF(P21=0,-Constants!$N$21*P21)+(S21*Constants!$N$20)+(Constants!$N$21*N21)</f>
        <v>0</v>
      </c>
      <c r="U21" s="138">
        <f>(+S21+T21)</f>
        <v>0</v>
      </c>
      <c r="V21" s="1227"/>
      <c r="W21" s="1284">
        <v>0</v>
      </c>
      <c r="X21" s="1285"/>
      <c r="Y21" s="327">
        <f>W21/12</f>
        <v>0</v>
      </c>
      <c r="Z21" s="37"/>
      <c r="AA21" s="24">
        <f>R21*(1+'Budget Summary'!$G$35)</f>
        <v>0</v>
      </c>
      <c r="AB21" s="38">
        <f>AA21*Y21</f>
        <v>0</v>
      </c>
      <c r="AC21" s="34">
        <f>IF(Y21=0,-Constants!$N$21*Y21)+(AB21*Constants!$N$20)+(Constants!$N$21*W21)</f>
        <v>0</v>
      </c>
      <c r="AD21" s="138">
        <f>(+AB21+AC21)</f>
        <v>0</v>
      </c>
      <c r="AE21" s="1227"/>
      <c r="AF21" s="1284">
        <v>0</v>
      </c>
      <c r="AG21" s="1285"/>
      <c r="AH21" s="327">
        <f>AF21/12</f>
        <v>0</v>
      </c>
      <c r="AI21" s="37"/>
      <c r="AJ21" s="24">
        <f>AA21*(1+'Budget Summary'!$G$35)</f>
        <v>0</v>
      </c>
      <c r="AK21" s="34">
        <f>ROUNDUP(AJ21*AH21,0)</f>
        <v>0</v>
      </c>
      <c r="AL21" s="34">
        <f>IF(AH21=0,-Constants!$N$21*AH21)+(AK21*Constants!$N$20)+(Constants!$N$21*AF21)</f>
        <v>0</v>
      </c>
      <c r="AM21" s="138">
        <f>(+AK21+AL21)</f>
        <v>0</v>
      </c>
      <c r="AN21" s="1227"/>
      <c r="AO21" s="1284">
        <v>0</v>
      </c>
      <c r="AP21" s="1285"/>
      <c r="AQ21" s="327">
        <f>AO21/12</f>
        <v>0</v>
      </c>
      <c r="AR21" s="37"/>
      <c r="AS21" s="24">
        <f>AJ21*(1+'Budget Summary'!$G$35)</f>
        <v>0</v>
      </c>
      <c r="AT21" s="38">
        <f>AS21*AQ21</f>
        <v>0</v>
      </c>
      <c r="AU21" s="34">
        <f>IF(AQ21=0,-Constants!$N$21*AQ21)+(AT21*Constants!$N$20)+(Constants!$N$21*AO21)</f>
        <v>0</v>
      </c>
      <c r="AV21" s="138">
        <f>(+AT21+AU21)</f>
        <v>0</v>
      </c>
    </row>
    <row r="22" spans="1:48" ht="15" customHeight="1">
      <c r="A22" s="1236"/>
      <c r="B22" s="1236"/>
      <c r="C22" s="320" t="str">
        <f>T('Bdgt Yr 1'!D31)</f>
        <v xml:space="preserve"> </v>
      </c>
      <c r="D22" s="331"/>
      <c r="E22" s="1231">
        <v>0</v>
      </c>
      <c r="F22" s="1232"/>
      <c r="G22" s="327">
        <f>E22/12</f>
        <v>0</v>
      </c>
      <c r="H22" s="39"/>
      <c r="I22" s="24">
        <v>0</v>
      </c>
      <c r="J22" s="38">
        <f>I22*G22</f>
        <v>0</v>
      </c>
      <c r="K22" s="34">
        <f>IF(G22=0,-Constants!$N$21*G22)+(J22*Constants!$N$20)+(Constants!$N$21*E22)</f>
        <v>0</v>
      </c>
      <c r="L22" s="140">
        <f>(+J22+K22)</f>
        <v>0</v>
      </c>
      <c r="M22" s="1299"/>
      <c r="N22" s="1231">
        <v>0</v>
      </c>
      <c r="O22" s="1232"/>
      <c r="P22" s="327">
        <f>N22/12</f>
        <v>0</v>
      </c>
      <c r="Q22" s="39"/>
      <c r="R22" s="24">
        <f>I22*(1+'Budget Summary'!$G$35)</f>
        <v>0</v>
      </c>
      <c r="S22" s="38">
        <f>R22*P22</f>
        <v>0</v>
      </c>
      <c r="T22" s="34">
        <f>IF(P22=0,-Constants!$N$21*P22)+(S22*Constants!$N$20)+(Constants!$N$21*N22)</f>
        <v>0</v>
      </c>
      <c r="U22" s="140">
        <f>(+S22+T22)</f>
        <v>0</v>
      </c>
      <c r="V22" s="1227"/>
      <c r="W22" s="1231">
        <v>0</v>
      </c>
      <c r="X22" s="1232"/>
      <c r="Y22" s="327">
        <f>W22/12</f>
        <v>0</v>
      </c>
      <c r="Z22" s="39"/>
      <c r="AA22" s="24">
        <f>R22*(1+'Budget Summary'!$G$35)</f>
        <v>0</v>
      </c>
      <c r="AB22" s="38">
        <f>AA22*Y22</f>
        <v>0</v>
      </c>
      <c r="AC22" s="34">
        <f>IF(Y22=0,-Constants!$N$21*Y22)+(AB22*Constants!$N$20)+(Constants!$N$21*W22)</f>
        <v>0</v>
      </c>
      <c r="AD22" s="140">
        <f>(+AB22+AC22)</f>
        <v>0</v>
      </c>
      <c r="AE22" s="1227"/>
      <c r="AF22" s="1231">
        <v>0</v>
      </c>
      <c r="AG22" s="1232"/>
      <c r="AH22" s="327">
        <f>AF22/12</f>
        <v>0</v>
      </c>
      <c r="AI22" s="39"/>
      <c r="AJ22" s="24">
        <f>AA22*(1+'Budget Summary'!$G$35)</f>
        <v>0</v>
      </c>
      <c r="AK22" s="38">
        <f>ROUNDUP(AJ22*AH22,0)</f>
        <v>0</v>
      </c>
      <c r="AL22" s="34">
        <f>IF(AH22=0,-Constants!$N$21*AH22)+(AK22*Constants!$N$20)+(Constants!$N$21*AF22)</f>
        <v>0</v>
      </c>
      <c r="AM22" s="140">
        <f>(+AK22+AL22)</f>
        <v>0</v>
      </c>
      <c r="AN22" s="1227"/>
      <c r="AO22" s="1231">
        <v>0</v>
      </c>
      <c r="AP22" s="1232"/>
      <c r="AQ22" s="327">
        <f>AO22/12</f>
        <v>0</v>
      </c>
      <c r="AR22" s="39"/>
      <c r="AS22" s="24">
        <f>AJ22*(1+'Budget Summary'!$G$35)</f>
        <v>0</v>
      </c>
      <c r="AT22" s="38">
        <f>AS22*AQ22</f>
        <v>0</v>
      </c>
      <c r="AU22" s="34">
        <f>IF(AQ22=0,-Constants!$N$21*AQ22)+(AT22*Constants!$N$20)+(Constants!$N$21*AO22)</f>
        <v>0</v>
      </c>
      <c r="AV22" s="140">
        <f>(+AT22+AU22)</f>
        <v>0</v>
      </c>
    </row>
    <row r="23" spans="1:48" ht="15" customHeight="1">
      <c r="A23" s="1347" t="s">
        <v>266</v>
      </c>
      <c r="B23" s="1347"/>
      <c r="C23" s="1348"/>
      <c r="D23" s="331"/>
      <c r="E23" s="1274"/>
      <c r="F23" s="1275"/>
      <c r="G23" s="1275"/>
      <c r="H23" s="1275"/>
      <c r="I23" s="1275"/>
      <c r="J23" s="1275"/>
      <c r="K23" s="1275"/>
      <c r="L23" s="1276"/>
      <c r="M23" s="1299"/>
      <c r="N23" s="152"/>
      <c r="O23" s="153"/>
      <c r="P23" s="153"/>
      <c r="Q23" s="153"/>
      <c r="R23" s="153"/>
      <c r="S23" s="153"/>
      <c r="T23" s="153"/>
      <c r="U23" s="154"/>
      <c r="V23" s="1227"/>
      <c r="W23" s="1274"/>
      <c r="X23" s="1275"/>
      <c r="Y23" s="1275"/>
      <c r="Z23" s="1275"/>
      <c r="AA23" s="1275"/>
      <c r="AB23" s="1275"/>
      <c r="AC23" s="1275"/>
      <c r="AD23" s="1276"/>
      <c r="AE23" s="1227"/>
      <c r="AF23" s="1274"/>
      <c r="AG23" s="1275"/>
      <c r="AH23" s="1275"/>
      <c r="AI23" s="1275"/>
      <c r="AJ23" s="1275"/>
      <c r="AK23" s="1275"/>
      <c r="AL23" s="1275"/>
      <c r="AM23" s="1276"/>
      <c r="AN23" s="1227"/>
      <c r="AO23" s="1274"/>
      <c r="AP23" s="1275"/>
      <c r="AQ23" s="1275"/>
      <c r="AR23" s="1275"/>
      <c r="AS23" s="1275"/>
      <c r="AT23" s="1275"/>
      <c r="AU23" s="1275"/>
      <c r="AV23" s="1276"/>
    </row>
    <row r="24" spans="1:48" s="159" customFormat="1" ht="29.25" customHeight="1">
      <c r="A24" s="1345" t="s">
        <v>265</v>
      </c>
      <c r="B24" s="1345"/>
      <c r="C24" s="321" t="s">
        <v>159</v>
      </c>
      <c r="D24" s="331"/>
      <c r="E24" s="150"/>
      <c r="F24" s="41"/>
      <c r="G24" s="41"/>
      <c r="H24" s="41"/>
      <c r="I24" s="248" t="s">
        <v>143</v>
      </c>
      <c r="J24" s="248" t="s">
        <v>161</v>
      </c>
      <c r="K24" s="248" t="s">
        <v>145</v>
      </c>
      <c r="L24" s="249" t="s">
        <v>146</v>
      </c>
      <c r="M24" s="1299"/>
      <c r="N24" s="150"/>
      <c r="O24" s="41"/>
      <c r="P24" s="41"/>
      <c r="Q24" s="41"/>
      <c r="R24" s="248" t="s">
        <v>143</v>
      </c>
      <c r="S24" s="248" t="s">
        <v>161</v>
      </c>
      <c r="T24" s="248" t="s">
        <v>145</v>
      </c>
      <c r="U24" s="249" t="s">
        <v>146</v>
      </c>
      <c r="V24" s="1227"/>
      <c r="W24" s="150"/>
      <c r="X24" s="41"/>
      <c r="Y24" s="41"/>
      <c r="Z24" s="41"/>
      <c r="AA24" s="248" t="s">
        <v>143</v>
      </c>
      <c r="AB24" s="248" t="s">
        <v>161</v>
      </c>
      <c r="AC24" s="248" t="s">
        <v>145</v>
      </c>
      <c r="AD24" s="249" t="s">
        <v>146</v>
      </c>
      <c r="AE24" s="1227"/>
      <c r="AF24" s="150"/>
      <c r="AG24" s="41"/>
      <c r="AH24" s="41"/>
      <c r="AI24" s="41"/>
      <c r="AJ24" s="248" t="s">
        <v>143</v>
      </c>
      <c r="AK24" s="248" t="s">
        <v>161</v>
      </c>
      <c r="AL24" s="248" t="s">
        <v>145</v>
      </c>
      <c r="AM24" s="249" t="s">
        <v>146</v>
      </c>
      <c r="AN24" s="1227"/>
      <c r="AO24" s="150"/>
      <c r="AP24" s="41"/>
      <c r="AQ24" s="41"/>
      <c r="AR24" s="41"/>
      <c r="AS24" s="248" t="s">
        <v>143</v>
      </c>
      <c r="AT24" s="248" t="s">
        <v>161</v>
      </c>
      <c r="AU24" s="248" t="s">
        <v>145</v>
      </c>
      <c r="AV24" s="249" t="s">
        <v>146</v>
      </c>
    </row>
    <row r="25" spans="1:48" ht="15" customHeight="1">
      <c r="A25" s="1346"/>
      <c r="B25" s="1346"/>
      <c r="C25" s="192" t="str">
        <f>T('Bdgt Yr 1'!D37)</f>
        <v xml:space="preserve"> </v>
      </c>
      <c r="D25" s="331"/>
      <c r="E25" s="150"/>
      <c r="F25" s="41"/>
      <c r="G25" s="41"/>
      <c r="H25" s="41"/>
      <c r="I25" s="24">
        <v>0</v>
      </c>
      <c r="J25" s="42">
        <v>0</v>
      </c>
      <c r="K25" s="31">
        <f>J25*Constants!$N$20</f>
        <v>0</v>
      </c>
      <c r="L25" s="138">
        <f>(+J25+K25)</f>
        <v>0</v>
      </c>
      <c r="M25" s="1299"/>
      <c r="N25" s="150"/>
      <c r="O25" s="41"/>
      <c r="P25" s="41"/>
      <c r="Q25" s="41"/>
      <c r="R25" s="24">
        <f>I25*(1+'Budget Summary'!$G$35)</f>
        <v>0</v>
      </c>
      <c r="S25" s="42">
        <v>0</v>
      </c>
      <c r="T25" s="31">
        <f>S25*Constants!$N$20</f>
        <v>0</v>
      </c>
      <c r="U25" s="138">
        <f>(+S25+T25)</f>
        <v>0</v>
      </c>
      <c r="V25" s="1227"/>
      <c r="W25" s="150"/>
      <c r="X25" s="41"/>
      <c r="Y25" s="41"/>
      <c r="Z25" s="41"/>
      <c r="AA25" s="24">
        <f>R25*(1+'Budget Summary'!$G$35)</f>
        <v>0</v>
      </c>
      <c r="AB25" s="42">
        <v>0</v>
      </c>
      <c r="AC25" s="31">
        <f>AB25*Constants!$N$20</f>
        <v>0</v>
      </c>
      <c r="AD25" s="138">
        <f>(+AB25+AC25)</f>
        <v>0</v>
      </c>
      <c r="AE25" s="1227"/>
      <c r="AF25" s="150"/>
      <c r="AG25" s="41"/>
      <c r="AH25" s="41"/>
      <c r="AI25" s="41"/>
      <c r="AJ25" s="24">
        <f>AA25*(1+'Budget Summary'!$G$35)</f>
        <v>0</v>
      </c>
      <c r="AK25" s="42">
        <v>0</v>
      </c>
      <c r="AL25" s="31">
        <f>AK25*Constants!$N$20</f>
        <v>0</v>
      </c>
      <c r="AM25" s="138">
        <f>(+AK25+AL25)</f>
        <v>0</v>
      </c>
      <c r="AN25" s="1227"/>
      <c r="AO25" s="150"/>
      <c r="AP25" s="41"/>
      <c r="AQ25" s="41"/>
      <c r="AR25" s="41"/>
      <c r="AS25" s="24">
        <f>AJ25*(1+'Budget Summary'!$G$35)</f>
        <v>0</v>
      </c>
      <c r="AT25" s="42">
        <v>0</v>
      </c>
      <c r="AU25" s="31">
        <f>AT25*Constants!$N$20</f>
        <v>0</v>
      </c>
      <c r="AV25" s="138">
        <f>(+AT25+AU25)</f>
        <v>0</v>
      </c>
    </row>
    <row r="26" spans="1:48" ht="15.75" customHeight="1" thickBot="1">
      <c r="A26" s="1352"/>
      <c r="B26" s="1352"/>
      <c r="C26" s="192" t="str">
        <f>T('Bdgt Yr 1'!D38)</f>
        <v xml:space="preserve"> </v>
      </c>
      <c r="D26" s="331"/>
      <c r="E26" s="150" t="s">
        <v>154</v>
      </c>
      <c r="F26" s="41"/>
      <c r="G26" s="64"/>
      <c r="H26" s="37"/>
      <c r="I26" s="35">
        <v>0</v>
      </c>
      <c r="J26" s="43">
        <v>0</v>
      </c>
      <c r="K26" s="40">
        <f>J26*Constants!$N$20</f>
        <v>0</v>
      </c>
      <c r="L26" s="140">
        <f>(+J26+K26)</f>
        <v>0</v>
      </c>
      <c r="M26" s="1299"/>
      <c r="N26" s="150" t="s">
        <v>154</v>
      </c>
      <c r="O26" s="41"/>
      <c r="P26" s="64"/>
      <c r="Q26" s="37"/>
      <c r="R26" s="24">
        <f>I26*(1+'Budget Summary'!$G$35)</f>
        <v>0</v>
      </c>
      <c r="S26" s="43">
        <v>0</v>
      </c>
      <c r="T26" s="40">
        <f>S26*Constants!$N$20</f>
        <v>0</v>
      </c>
      <c r="U26" s="140">
        <f>(+S26+T26)</f>
        <v>0</v>
      </c>
      <c r="V26" s="1227"/>
      <c r="W26" s="150" t="s">
        <v>154</v>
      </c>
      <c r="X26" s="41"/>
      <c r="Y26" s="64"/>
      <c r="Z26" s="37"/>
      <c r="AA26" s="24">
        <f>R26*(1+'Budget Summary'!$G$35)</f>
        <v>0</v>
      </c>
      <c r="AB26" s="43">
        <v>0</v>
      </c>
      <c r="AC26" s="40">
        <f>AB26*Constants!$N$20</f>
        <v>0</v>
      </c>
      <c r="AD26" s="140">
        <f>(+AB26+AC26)</f>
        <v>0</v>
      </c>
      <c r="AE26" s="1227"/>
      <c r="AF26" s="150" t="s">
        <v>154</v>
      </c>
      <c r="AG26" s="41"/>
      <c r="AH26" s="64"/>
      <c r="AI26" s="37"/>
      <c r="AJ26" s="24">
        <f>AA26*(1+'Budget Summary'!$G$35)</f>
        <v>0</v>
      </c>
      <c r="AK26" s="43">
        <v>0</v>
      </c>
      <c r="AL26" s="40">
        <f>AK26*Constants!$N$20</f>
        <v>0</v>
      </c>
      <c r="AM26" s="140">
        <f>(+AK26+AL26)</f>
        <v>0</v>
      </c>
      <c r="AN26" s="1227"/>
      <c r="AO26" s="150" t="s">
        <v>154</v>
      </c>
      <c r="AP26" s="41"/>
      <c r="AQ26" s="64"/>
      <c r="AR26" s="37"/>
      <c r="AS26" s="24">
        <f>AJ26*(1+'Budget Summary'!$G$35)</f>
        <v>0</v>
      </c>
      <c r="AT26" s="43">
        <v>0</v>
      </c>
      <c r="AU26" s="40">
        <f>AT26*Constants!$N$20</f>
        <v>0</v>
      </c>
      <c r="AV26" s="140">
        <f>(+AT26+AU26)</f>
        <v>0</v>
      </c>
    </row>
    <row r="27" spans="1:48" ht="15.75" customHeight="1" thickBot="1">
      <c r="A27" s="1309" t="s">
        <v>167</v>
      </c>
      <c r="B27" s="1310"/>
      <c r="C27" s="1311"/>
      <c r="D27" s="331"/>
      <c r="E27" s="329"/>
      <c r="F27" s="330"/>
      <c r="G27" s="330"/>
      <c r="H27" s="330"/>
      <c r="I27" s="330"/>
      <c r="J27" s="313">
        <f>SUM(J21:J26)</f>
        <v>0</v>
      </c>
      <c r="K27" s="314">
        <f>SUM(K21:K26)</f>
        <v>0</v>
      </c>
      <c r="L27" s="315">
        <f>SUM(L21:L26)</f>
        <v>0</v>
      </c>
      <c r="M27" s="1299"/>
      <c r="N27" s="329"/>
      <c r="O27" s="330"/>
      <c r="P27" s="330"/>
      <c r="Q27" s="330"/>
      <c r="R27" s="330"/>
      <c r="S27" s="313">
        <f>SUM(S21:S26)</f>
        <v>0</v>
      </c>
      <c r="T27" s="314">
        <f>SUM(T21:T26)</f>
        <v>0</v>
      </c>
      <c r="U27" s="315">
        <f>SUM(U21:U26)</f>
        <v>0</v>
      </c>
      <c r="V27" s="1227"/>
      <c r="W27" s="329"/>
      <c r="X27" s="330"/>
      <c r="Y27" s="330"/>
      <c r="Z27" s="330"/>
      <c r="AA27" s="330"/>
      <c r="AB27" s="313">
        <f>SUM(AB21:AB26)</f>
        <v>0</v>
      </c>
      <c r="AC27" s="314">
        <f>SUM(AC21:AC26)</f>
        <v>0</v>
      </c>
      <c r="AD27" s="315">
        <f>SUM(AD21:AD26)</f>
        <v>0</v>
      </c>
      <c r="AE27" s="1227"/>
      <c r="AF27" s="329"/>
      <c r="AG27" s="330"/>
      <c r="AH27" s="330"/>
      <c r="AI27" s="330"/>
      <c r="AJ27" s="330"/>
      <c r="AK27" s="313">
        <f>SUM(AK21:AK26)</f>
        <v>0</v>
      </c>
      <c r="AL27" s="314">
        <f>SUM(AL21:AL26)</f>
        <v>0</v>
      </c>
      <c r="AM27" s="315">
        <f>SUM(AM21:AM26)</f>
        <v>0</v>
      </c>
      <c r="AN27" s="1227"/>
      <c r="AO27" s="329"/>
      <c r="AP27" s="330"/>
      <c r="AQ27" s="330"/>
      <c r="AR27" s="330"/>
      <c r="AS27" s="330"/>
      <c r="AT27" s="313">
        <f>SUM(AT21:AT26)</f>
        <v>0</v>
      </c>
      <c r="AU27" s="314">
        <f>SUM(AU21:AU26)</f>
        <v>0</v>
      </c>
      <c r="AV27" s="315">
        <f>SUM(AV21:AV26)</f>
        <v>0</v>
      </c>
    </row>
    <row r="28" spans="1:48" ht="15" customHeight="1">
      <c r="A28" s="1349" t="s">
        <v>253</v>
      </c>
      <c r="B28" s="1349"/>
      <c r="C28" s="1350"/>
      <c r="D28" s="331"/>
      <c r="E28" s="1267"/>
      <c r="F28" s="1268"/>
      <c r="G28" s="1268"/>
      <c r="H28" s="1268"/>
      <c r="I28" s="1268"/>
      <c r="J28" s="1268"/>
      <c r="K28" s="1268"/>
      <c r="L28" s="1269"/>
      <c r="M28" s="1299"/>
      <c r="N28" s="1267"/>
      <c r="O28" s="1268"/>
      <c r="P28" s="1268"/>
      <c r="Q28" s="1268"/>
      <c r="R28" s="1268"/>
      <c r="S28" s="1268"/>
      <c r="T28" s="1268"/>
      <c r="U28" s="1269"/>
      <c r="V28" s="1227"/>
      <c r="W28" s="1267"/>
      <c r="X28" s="1268"/>
      <c r="Y28" s="1268"/>
      <c r="Z28" s="1268"/>
      <c r="AA28" s="1268"/>
      <c r="AB28" s="1268"/>
      <c r="AC28" s="1268"/>
      <c r="AD28" s="1269"/>
      <c r="AE28" s="1227"/>
      <c r="AF28" s="1267"/>
      <c r="AG28" s="1268"/>
      <c r="AH28" s="1268"/>
      <c r="AI28" s="1268"/>
      <c r="AJ28" s="1268"/>
      <c r="AK28" s="1268"/>
      <c r="AL28" s="1268"/>
      <c r="AM28" s="1269"/>
      <c r="AN28" s="1227"/>
      <c r="AO28" s="1267"/>
      <c r="AP28" s="1268"/>
      <c r="AQ28" s="1268"/>
      <c r="AR28" s="1268"/>
      <c r="AS28" s="1268"/>
      <c r="AT28" s="1268"/>
      <c r="AU28" s="1268"/>
      <c r="AV28" s="1269"/>
    </row>
    <row r="29" spans="1:48" s="159" customFormat="1" ht="29.25" customHeight="1">
      <c r="A29" s="1345" t="s">
        <v>265</v>
      </c>
      <c r="B29" s="1345"/>
      <c r="C29" s="321" t="s">
        <v>159</v>
      </c>
      <c r="D29" s="331"/>
      <c r="E29" s="1270" t="s">
        <v>254</v>
      </c>
      <c r="F29" s="1271"/>
      <c r="G29" s="156"/>
      <c r="H29" s="250" t="s">
        <v>171</v>
      </c>
      <c r="I29" s="251" t="s">
        <v>267</v>
      </c>
      <c r="J29" s="251" t="s">
        <v>144</v>
      </c>
      <c r="K29" s="251" t="s">
        <v>145</v>
      </c>
      <c r="L29" s="252" t="s">
        <v>146</v>
      </c>
      <c r="M29" s="1299"/>
      <c r="N29" s="1270" t="s">
        <v>254</v>
      </c>
      <c r="O29" s="1271"/>
      <c r="P29" s="156"/>
      <c r="Q29" s="250" t="s">
        <v>171</v>
      </c>
      <c r="R29" s="251" t="s">
        <v>267</v>
      </c>
      <c r="S29" s="251" t="s">
        <v>144</v>
      </c>
      <c r="T29" s="251" t="s">
        <v>145</v>
      </c>
      <c r="U29" s="252" t="s">
        <v>146</v>
      </c>
      <c r="V29" s="1227"/>
      <c r="W29" s="1270" t="s">
        <v>254</v>
      </c>
      <c r="X29" s="1271"/>
      <c r="Y29" s="156"/>
      <c r="Z29" s="250" t="s">
        <v>171</v>
      </c>
      <c r="AA29" s="251" t="s">
        <v>267</v>
      </c>
      <c r="AB29" s="251" t="s">
        <v>144</v>
      </c>
      <c r="AC29" s="251" t="s">
        <v>145</v>
      </c>
      <c r="AD29" s="252" t="s">
        <v>146</v>
      </c>
      <c r="AE29" s="1227"/>
      <c r="AF29" s="1270" t="s">
        <v>254</v>
      </c>
      <c r="AG29" s="1271"/>
      <c r="AH29" s="156"/>
      <c r="AI29" s="250" t="s">
        <v>171</v>
      </c>
      <c r="AJ29" s="251" t="s">
        <v>267</v>
      </c>
      <c r="AK29" s="251" t="s">
        <v>144</v>
      </c>
      <c r="AL29" s="251" t="s">
        <v>145</v>
      </c>
      <c r="AM29" s="252" t="s">
        <v>146</v>
      </c>
      <c r="AN29" s="1227"/>
      <c r="AO29" s="1270" t="s">
        <v>254</v>
      </c>
      <c r="AP29" s="1271"/>
      <c r="AQ29" s="156"/>
      <c r="AR29" s="250" t="s">
        <v>171</v>
      </c>
      <c r="AS29" s="251" t="s">
        <v>267</v>
      </c>
      <c r="AT29" s="251" t="s">
        <v>144</v>
      </c>
      <c r="AU29" s="251" t="s">
        <v>145</v>
      </c>
      <c r="AV29" s="252" t="s">
        <v>146</v>
      </c>
    </row>
    <row r="30" spans="1:48" ht="15" customHeight="1">
      <c r="A30" s="1346"/>
      <c r="B30" s="1346"/>
      <c r="C30" s="328" t="s">
        <v>172</v>
      </c>
      <c r="D30" s="331"/>
      <c r="E30" s="1294">
        <v>0</v>
      </c>
      <c r="F30" s="1295"/>
      <c r="G30" s="37"/>
      <c r="H30" s="131">
        <v>0</v>
      </c>
      <c r="I30" s="132">
        <v>0</v>
      </c>
      <c r="J30" s="25">
        <f>(+E30+H30)*I30</f>
        <v>0</v>
      </c>
      <c r="K30" s="25">
        <f>((H30*I30)*Constants!$N$20)+((E30*I30)*Constants!$N$18)</f>
        <v>0</v>
      </c>
      <c r="L30" s="141">
        <f>(+J30+K30)</f>
        <v>0</v>
      </c>
      <c r="M30" s="1299"/>
      <c r="N30" s="1294">
        <v>0</v>
      </c>
      <c r="O30" s="1295"/>
      <c r="P30" s="37"/>
      <c r="Q30" s="131">
        <v>0</v>
      </c>
      <c r="R30" s="132">
        <v>0</v>
      </c>
      <c r="S30" s="25">
        <f>(+N30+Q30)*R30</f>
        <v>0</v>
      </c>
      <c r="T30" s="25">
        <f>((Q30*R30)*Constants!$N$20)+((N30*R30)*Constants!$N$18)</f>
        <v>0</v>
      </c>
      <c r="U30" s="141">
        <f>(+S30+T30)</f>
        <v>0</v>
      </c>
      <c r="V30" s="1227"/>
      <c r="W30" s="1294">
        <v>0</v>
      </c>
      <c r="X30" s="1295"/>
      <c r="Y30" s="37"/>
      <c r="Z30" s="131">
        <v>0</v>
      </c>
      <c r="AA30" s="132">
        <v>0</v>
      </c>
      <c r="AB30" s="25">
        <f>(+W30+Z30)*AA30</f>
        <v>0</v>
      </c>
      <c r="AC30" s="25">
        <f>((Z30*AA30)*Constants!$N$20)+((W30*AA30)*Constants!$N$18)</f>
        <v>0</v>
      </c>
      <c r="AD30" s="141">
        <f>(+AB30+AC30)</f>
        <v>0</v>
      </c>
      <c r="AE30" s="1227"/>
      <c r="AF30" s="1294">
        <v>0</v>
      </c>
      <c r="AG30" s="1295"/>
      <c r="AH30" s="37"/>
      <c r="AI30" s="131">
        <v>0</v>
      </c>
      <c r="AJ30" s="132">
        <v>0</v>
      </c>
      <c r="AK30" s="25">
        <f>(+AF30+AI30)*AJ30</f>
        <v>0</v>
      </c>
      <c r="AL30" s="25">
        <f>((AI30*AJ30)*Constants!$N$20)+((AF30*AJ30)*Constants!$N$18)</f>
        <v>0</v>
      </c>
      <c r="AM30" s="141">
        <f>(+AK30+AL30)</f>
        <v>0</v>
      </c>
      <c r="AN30" s="1227"/>
      <c r="AO30" s="1294">
        <v>0</v>
      </c>
      <c r="AP30" s="1295"/>
      <c r="AQ30" s="37"/>
      <c r="AR30" s="131">
        <v>0</v>
      </c>
      <c r="AS30" s="132">
        <v>0</v>
      </c>
      <c r="AT30" s="25">
        <f>(+AO30+AR30)*AS30</f>
        <v>0</v>
      </c>
      <c r="AU30" s="25">
        <f>((AR30*AS30)*Constants!$N$20)+((AO30*AS30)*Constants!$N$18)</f>
        <v>0</v>
      </c>
      <c r="AV30" s="141">
        <f>(+AT30+AU30)</f>
        <v>0</v>
      </c>
    </row>
    <row r="31" spans="1:48" ht="15" customHeight="1">
      <c r="A31" s="1346"/>
      <c r="B31" s="1346"/>
      <c r="C31" s="328" t="s">
        <v>172</v>
      </c>
      <c r="D31" s="331"/>
      <c r="E31" s="1247">
        <v>0</v>
      </c>
      <c r="F31" s="1248"/>
      <c r="G31" s="37"/>
      <c r="H31" s="131">
        <v>0</v>
      </c>
      <c r="I31" s="132">
        <v>0</v>
      </c>
      <c r="J31" s="36">
        <f>(+E31+H31)*I31</f>
        <v>0</v>
      </c>
      <c r="K31" s="25">
        <f>((H31*I31)*Constants!$N$20)+((E31*I31)*Constants!$N$18)</f>
        <v>0</v>
      </c>
      <c r="L31" s="142">
        <f t="shared" ref="L31:L33" si="12">(+J31+K31)</f>
        <v>0</v>
      </c>
      <c r="M31" s="1299"/>
      <c r="N31" s="1247">
        <v>0</v>
      </c>
      <c r="O31" s="1248"/>
      <c r="P31" s="37"/>
      <c r="Q31" s="131">
        <v>0</v>
      </c>
      <c r="R31" s="132">
        <v>0</v>
      </c>
      <c r="S31" s="36">
        <f>(+N31+Q31)*R31</f>
        <v>0</v>
      </c>
      <c r="T31" s="25">
        <f>((Q31*R31)*Constants!$N$20)+((N31*R31)*Constants!$N$18)</f>
        <v>0</v>
      </c>
      <c r="U31" s="142">
        <f t="shared" ref="U31:U33" si="13">(+S31+T31)</f>
        <v>0</v>
      </c>
      <c r="V31" s="1227"/>
      <c r="W31" s="1247">
        <v>0</v>
      </c>
      <c r="X31" s="1248"/>
      <c r="Y31" s="37"/>
      <c r="Z31" s="131">
        <v>0</v>
      </c>
      <c r="AA31" s="132">
        <v>0</v>
      </c>
      <c r="AB31" s="36">
        <f>(+W31+Z31)*AA31</f>
        <v>0</v>
      </c>
      <c r="AC31" s="25">
        <f>((Z31*AA31)*Constants!$N$20)+((W31*AA31)*Constants!$N$18)</f>
        <v>0</v>
      </c>
      <c r="AD31" s="142">
        <f t="shared" ref="AD31:AD33" si="14">(+AB31+AC31)</f>
        <v>0</v>
      </c>
      <c r="AE31" s="1227"/>
      <c r="AF31" s="1247">
        <v>0</v>
      </c>
      <c r="AG31" s="1248"/>
      <c r="AH31" s="37"/>
      <c r="AI31" s="131">
        <v>0</v>
      </c>
      <c r="AJ31" s="132">
        <v>0</v>
      </c>
      <c r="AK31" s="36">
        <f>(+AF31+AI31)*AJ31</f>
        <v>0</v>
      </c>
      <c r="AL31" s="25">
        <f>((AI31*AJ31)*Constants!$N$20)+((AF31*AJ31)*Constants!$N$18)</f>
        <v>0</v>
      </c>
      <c r="AM31" s="142">
        <f t="shared" ref="AM31:AM33" si="15">(+AK31+AL31)</f>
        <v>0</v>
      </c>
      <c r="AN31" s="1227"/>
      <c r="AO31" s="1247">
        <v>0</v>
      </c>
      <c r="AP31" s="1248"/>
      <c r="AQ31" s="37"/>
      <c r="AR31" s="131">
        <v>0</v>
      </c>
      <c r="AS31" s="132">
        <v>0</v>
      </c>
      <c r="AT31" s="36">
        <f>(+AO31+AR31)*AS31</f>
        <v>0</v>
      </c>
      <c r="AU31" s="25">
        <f>((AR31*AS31)*Constants!$N$20)+((AO31*AS31)*Constants!$N$18)</f>
        <v>0</v>
      </c>
      <c r="AV31" s="142">
        <f t="shared" ref="AV31:AV33" si="16">(+AT31+AU31)</f>
        <v>0</v>
      </c>
    </row>
    <row r="32" spans="1:48" ht="15" customHeight="1">
      <c r="A32" s="1346"/>
      <c r="B32" s="1346"/>
      <c r="C32" s="328" t="s">
        <v>268</v>
      </c>
      <c r="D32" s="331"/>
      <c r="E32" s="1247">
        <v>0</v>
      </c>
      <c r="F32" s="1248"/>
      <c r="G32" s="37"/>
      <c r="H32" s="131">
        <v>0</v>
      </c>
      <c r="I32" s="132">
        <v>0</v>
      </c>
      <c r="J32" s="27">
        <f>(+E32+H32)*I32</f>
        <v>0</v>
      </c>
      <c r="K32" s="25">
        <f>((H32*I32)*Constants!$N$20)+((E32*I32)*Constants!$N$18)</f>
        <v>0</v>
      </c>
      <c r="L32" s="142">
        <f t="shared" si="12"/>
        <v>0</v>
      </c>
      <c r="M32" s="1299"/>
      <c r="N32" s="1247">
        <v>0</v>
      </c>
      <c r="O32" s="1248"/>
      <c r="P32" s="37"/>
      <c r="Q32" s="131">
        <v>0</v>
      </c>
      <c r="R32" s="132">
        <v>0</v>
      </c>
      <c r="S32" s="27">
        <f>(+N32+Q32)*R32</f>
        <v>0</v>
      </c>
      <c r="T32" s="25">
        <f>((Q32*R32)*Constants!$N$20)+((N32*R32)*Constants!$N$18)</f>
        <v>0</v>
      </c>
      <c r="U32" s="142">
        <f t="shared" si="13"/>
        <v>0</v>
      </c>
      <c r="V32" s="1227"/>
      <c r="W32" s="1247">
        <v>0</v>
      </c>
      <c r="X32" s="1248"/>
      <c r="Y32" s="37"/>
      <c r="Z32" s="131">
        <v>0</v>
      </c>
      <c r="AA32" s="132">
        <v>0</v>
      </c>
      <c r="AB32" s="27">
        <f>(+W32+Z32)*AA32</f>
        <v>0</v>
      </c>
      <c r="AC32" s="25">
        <f>((Z32*AA32)*Constants!$N$20)+((W32*AA32)*Constants!$N$18)</f>
        <v>0</v>
      </c>
      <c r="AD32" s="142">
        <f t="shared" si="14"/>
        <v>0</v>
      </c>
      <c r="AE32" s="1227"/>
      <c r="AF32" s="1247">
        <v>0</v>
      </c>
      <c r="AG32" s="1248"/>
      <c r="AH32" s="37"/>
      <c r="AI32" s="131">
        <v>0</v>
      </c>
      <c r="AJ32" s="132">
        <v>0</v>
      </c>
      <c r="AK32" s="27">
        <f>(+AF32+AI32)*AJ32</f>
        <v>0</v>
      </c>
      <c r="AL32" s="25">
        <f>((AI32*AJ32)*Constants!$N$20)+((AF32*AJ32)*Constants!$N$18)</f>
        <v>0</v>
      </c>
      <c r="AM32" s="142">
        <f t="shared" si="15"/>
        <v>0</v>
      </c>
      <c r="AN32" s="1227"/>
      <c r="AO32" s="1247">
        <v>0</v>
      </c>
      <c r="AP32" s="1248"/>
      <c r="AQ32" s="37"/>
      <c r="AR32" s="131">
        <v>0</v>
      </c>
      <c r="AS32" s="132">
        <v>0</v>
      </c>
      <c r="AT32" s="27">
        <f>(+AO32+AR32)*AS32</f>
        <v>0</v>
      </c>
      <c r="AU32" s="25">
        <f>((AR32*AS32)*Constants!$N$20)+((AO32*AS32)*Constants!$N$18)</f>
        <v>0</v>
      </c>
      <c r="AV32" s="142">
        <f t="shared" si="16"/>
        <v>0</v>
      </c>
    </row>
    <row r="33" spans="1:48" ht="15" customHeight="1">
      <c r="A33" s="1346"/>
      <c r="B33" s="1346"/>
      <c r="C33" s="328" t="s">
        <v>268</v>
      </c>
      <c r="D33" s="331"/>
      <c r="E33" s="1296">
        <v>0</v>
      </c>
      <c r="F33" s="1297"/>
      <c r="G33" s="37"/>
      <c r="H33" s="44">
        <v>0</v>
      </c>
      <c r="I33" s="45">
        <v>0</v>
      </c>
      <c r="J33" s="40">
        <f>(+E33+H33)*I33</f>
        <v>0</v>
      </c>
      <c r="K33" s="25">
        <f>((H33*I33)*Constants!$N$20)+((E33*I33)*Constants!$N$18)</f>
        <v>0</v>
      </c>
      <c r="L33" s="139">
        <f t="shared" si="12"/>
        <v>0</v>
      </c>
      <c r="M33" s="1299"/>
      <c r="N33" s="1296">
        <v>0</v>
      </c>
      <c r="O33" s="1297"/>
      <c r="P33" s="37"/>
      <c r="Q33" s="44">
        <v>0</v>
      </c>
      <c r="R33" s="45">
        <v>0</v>
      </c>
      <c r="S33" s="40">
        <f>(+N33+Q33)*R33</f>
        <v>0</v>
      </c>
      <c r="T33" s="25">
        <f>((Q33*R33)*Constants!$N$20)+((N33*R33)*Constants!$N$18)</f>
        <v>0</v>
      </c>
      <c r="U33" s="139">
        <f t="shared" si="13"/>
        <v>0</v>
      </c>
      <c r="V33" s="1227"/>
      <c r="W33" s="1296">
        <v>0</v>
      </c>
      <c r="X33" s="1297"/>
      <c r="Y33" s="37"/>
      <c r="Z33" s="44">
        <v>0</v>
      </c>
      <c r="AA33" s="45">
        <v>0</v>
      </c>
      <c r="AB33" s="40">
        <f>(+W33+Z33)*AA33</f>
        <v>0</v>
      </c>
      <c r="AC33" s="25">
        <f>((Z33*AA33)*Constants!$N$20)+((W33*AA33)*Constants!$N$18)</f>
        <v>0</v>
      </c>
      <c r="AD33" s="139">
        <f t="shared" si="14"/>
        <v>0</v>
      </c>
      <c r="AE33" s="1227"/>
      <c r="AF33" s="1296">
        <v>0</v>
      </c>
      <c r="AG33" s="1297"/>
      <c r="AH33" s="37"/>
      <c r="AI33" s="44">
        <v>0</v>
      </c>
      <c r="AJ33" s="45">
        <v>0</v>
      </c>
      <c r="AK33" s="40">
        <f>(+AF33+AI33)*AJ33</f>
        <v>0</v>
      </c>
      <c r="AL33" s="25">
        <f>((AI33*AJ33)*Constants!$N$20)+((AF33*AJ33)*Constants!$N$18)</f>
        <v>0</v>
      </c>
      <c r="AM33" s="139">
        <f t="shared" si="15"/>
        <v>0</v>
      </c>
      <c r="AN33" s="1227"/>
      <c r="AO33" s="1296">
        <v>0</v>
      </c>
      <c r="AP33" s="1297"/>
      <c r="AQ33" s="37"/>
      <c r="AR33" s="44">
        <v>0</v>
      </c>
      <c r="AS33" s="45">
        <v>0</v>
      </c>
      <c r="AT33" s="40">
        <f>(+AO33+AR33)*AS33</f>
        <v>0</v>
      </c>
      <c r="AU33" s="25">
        <f>((AR33*AS33)*Constants!$N$20)+((AO33*AS33)*Constants!$N$18)</f>
        <v>0</v>
      </c>
      <c r="AV33" s="139">
        <f t="shared" si="16"/>
        <v>0</v>
      </c>
    </row>
    <row r="34" spans="1:48" s="159" customFormat="1" ht="29.25" customHeight="1">
      <c r="A34" s="1351" t="s">
        <v>265</v>
      </c>
      <c r="B34" s="1351"/>
      <c r="D34" s="331"/>
      <c r="E34" s="157"/>
      <c r="F34" s="47"/>
      <c r="G34" s="47"/>
      <c r="H34" s="253" t="s">
        <v>174</v>
      </c>
      <c r="I34" s="253" t="s">
        <v>269</v>
      </c>
      <c r="J34" s="593"/>
      <c r="K34" s="592" t="s">
        <v>145</v>
      </c>
      <c r="L34" s="594" t="s">
        <v>146</v>
      </c>
      <c r="M34" s="1299"/>
      <c r="N34" s="157"/>
      <c r="O34" s="47"/>
      <c r="P34" s="47"/>
      <c r="Q34" s="253" t="s">
        <v>174</v>
      </c>
      <c r="R34" s="253" t="s">
        <v>269</v>
      </c>
      <c r="S34" s="593"/>
      <c r="T34" s="592" t="s">
        <v>145</v>
      </c>
      <c r="U34" s="594" t="s">
        <v>146</v>
      </c>
      <c r="V34" s="1227"/>
      <c r="W34" s="157"/>
      <c r="X34" s="47"/>
      <c r="Y34" s="47"/>
      <c r="Z34" s="253" t="s">
        <v>174</v>
      </c>
      <c r="AA34" s="253" t="s">
        <v>269</v>
      </c>
      <c r="AB34" s="593"/>
      <c r="AC34" s="592" t="s">
        <v>145</v>
      </c>
      <c r="AD34" s="594" t="s">
        <v>146</v>
      </c>
      <c r="AE34" s="1227"/>
      <c r="AF34" s="157"/>
      <c r="AG34" s="47"/>
      <c r="AH34" s="47"/>
      <c r="AI34" s="253" t="s">
        <v>174</v>
      </c>
      <c r="AJ34" s="253" t="s">
        <v>269</v>
      </c>
      <c r="AK34" s="593"/>
      <c r="AL34" s="592" t="s">
        <v>145</v>
      </c>
      <c r="AM34" s="594" t="s">
        <v>146</v>
      </c>
      <c r="AN34" s="1227"/>
      <c r="AO34" s="157"/>
      <c r="AP34" s="47"/>
      <c r="AQ34" s="47"/>
      <c r="AR34" s="253" t="s">
        <v>174</v>
      </c>
      <c r="AS34" s="253" t="s">
        <v>269</v>
      </c>
      <c r="AT34" s="593"/>
      <c r="AU34" s="592" t="s">
        <v>145</v>
      </c>
      <c r="AV34" s="594" t="s">
        <v>146</v>
      </c>
    </row>
    <row r="35" spans="1:48" ht="15" customHeight="1">
      <c r="A35" s="1346"/>
      <c r="B35" s="1346"/>
      <c r="C35" s="328" t="s">
        <v>270</v>
      </c>
      <c r="D35" s="331"/>
      <c r="E35" s="151"/>
      <c r="F35" s="47"/>
      <c r="G35" s="47"/>
      <c r="H35" s="46">
        <v>0</v>
      </c>
      <c r="I35" s="46">
        <v>0</v>
      </c>
      <c r="J35" s="47"/>
      <c r="K35" s="25">
        <f>(I35*Constants!$N$20)+(H35*Constants!$N$18)</f>
        <v>0</v>
      </c>
      <c r="L35" s="139">
        <f>SUM(H35:K35)</f>
        <v>0</v>
      </c>
      <c r="M35" s="1299"/>
      <c r="N35" s="151"/>
      <c r="O35" s="47"/>
      <c r="P35" s="47"/>
      <c r="Q35" s="46">
        <v>0</v>
      </c>
      <c r="R35" s="46">
        <v>0</v>
      </c>
      <c r="S35" s="47"/>
      <c r="T35" s="25">
        <f>(R35*Constants!$N$20)+(Q35*Constants!$N$18)</f>
        <v>0</v>
      </c>
      <c r="U35" s="139">
        <f>SUM(Q35:T35)</f>
        <v>0</v>
      </c>
      <c r="V35" s="1227"/>
      <c r="W35" s="151"/>
      <c r="X35" s="47"/>
      <c r="Y35" s="47"/>
      <c r="Z35" s="46">
        <v>0</v>
      </c>
      <c r="AA35" s="46">
        <v>0</v>
      </c>
      <c r="AB35" s="47"/>
      <c r="AC35" s="25">
        <f>(AA35*Constants!$N$20)+(Z35*Constants!$N$18)</f>
        <v>0</v>
      </c>
      <c r="AD35" s="139">
        <f>SUM(Z35:AC35)</f>
        <v>0</v>
      </c>
      <c r="AE35" s="1227"/>
      <c r="AF35" s="151"/>
      <c r="AG35" s="47"/>
      <c r="AH35" s="47"/>
      <c r="AI35" s="46">
        <v>0</v>
      </c>
      <c r="AJ35" s="46">
        <v>0</v>
      </c>
      <c r="AK35" s="47"/>
      <c r="AL35" s="25">
        <f>(AJ35*Constants!$N$20)+(AI35*Constants!$N$18)</f>
        <v>0</v>
      </c>
      <c r="AM35" s="139">
        <f>SUM(AI35:AL35)</f>
        <v>0</v>
      </c>
      <c r="AN35" s="1227"/>
      <c r="AO35" s="151"/>
      <c r="AP35" s="47"/>
      <c r="AQ35" s="47"/>
      <c r="AR35" s="46">
        <v>0</v>
      </c>
      <c r="AS35" s="46">
        <v>0</v>
      </c>
      <c r="AT35" s="47"/>
      <c r="AU35" s="25">
        <f>(AS35*Constants!$N$20)+(AR35*Constants!$N$18)</f>
        <v>0</v>
      </c>
      <c r="AV35" s="139">
        <f>SUM(AR35:AU35)</f>
        <v>0</v>
      </c>
    </row>
    <row r="36" spans="1:48" ht="15.75" customHeight="1" thickBot="1">
      <c r="A36" s="1352"/>
      <c r="B36" s="1352"/>
      <c r="C36" s="328" t="s">
        <v>270</v>
      </c>
      <c r="D36" s="331"/>
      <c r="E36" s="151"/>
      <c r="F36" s="47"/>
      <c r="G36" s="47"/>
      <c r="H36" s="48">
        <v>0</v>
      </c>
      <c r="I36" s="48">
        <v>0</v>
      </c>
      <c r="J36" s="47"/>
      <c r="K36" s="25">
        <f>(I36*Constants!$N$20)+(H36*Constants!$N$18)</f>
        <v>0</v>
      </c>
      <c r="L36" s="139">
        <f>SUM(H36:K36)</f>
        <v>0</v>
      </c>
      <c r="M36" s="1299"/>
      <c r="N36" s="151"/>
      <c r="O36" s="47"/>
      <c r="P36" s="47"/>
      <c r="Q36" s="48">
        <v>0</v>
      </c>
      <c r="R36" s="48">
        <v>0</v>
      </c>
      <c r="S36" s="47"/>
      <c r="T36" s="25">
        <f>(R36*Constants!$N$20)+(Q36*Constants!$N$18)</f>
        <v>0</v>
      </c>
      <c r="U36" s="139">
        <f>SUM(Q36:T36)</f>
        <v>0</v>
      </c>
      <c r="V36" s="1227"/>
      <c r="W36" s="151"/>
      <c r="X36" s="47"/>
      <c r="Y36" s="47"/>
      <c r="Z36" s="48">
        <v>0</v>
      </c>
      <c r="AA36" s="48">
        <v>0</v>
      </c>
      <c r="AB36" s="47"/>
      <c r="AC36" s="25">
        <f>(AA36*Constants!$N$20)+(Z36*Constants!$N$18)</f>
        <v>0</v>
      </c>
      <c r="AD36" s="139">
        <f>SUM(Z36:AC36)</f>
        <v>0</v>
      </c>
      <c r="AE36" s="1227"/>
      <c r="AF36" s="151"/>
      <c r="AG36" s="47"/>
      <c r="AH36" s="47"/>
      <c r="AI36" s="48">
        <v>0</v>
      </c>
      <c r="AJ36" s="48">
        <v>0</v>
      </c>
      <c r="AK36" s="47"/>
      <c r="AL36" s="25">
        <f>(AJ36*Constants!$N$20)+(AI36*Constants!$N$18)</f>
        <v>0</v>
      </c>
      <c r="AM36" s="139">
        <f>SUM(AI36:AL36)</f>
        <v>0</v>
      </c>
      <c r="AN36" s="1227"/>
      <c r="AO36" s="151"/>
      <c r="AP36" s="47"/>
      <c r="AQ36" s="47"/>
      <c r="AR36" s="48">
        <v>0</v>
      </c>
      <c r="AS36" s="48">
        <v>0</v>
      </c>
      <c r="AT36" s="47"/>
      <c r="AU36" s="25">
        <f>(AS36*Constants!$N$20)+(AR36*Constants!$N$18)</f>
        <v>0</v>
      </c>
      <c r="AV36" s="139">
        <f>SUM(AR36:AU36)</f>
        <v>0</v>
      </c>
    </row>
    <row r="37" spans="1:48" ht="15.75" customHeight="1" thickBot="1">
      <c r="A37" s="1309" t="s">
        <v>178</v>
      </c>
      <c r="B37" s="1310"/>
      <c r="C37" s="1311"/>
      <c r="D37" s="331"/>
      <c r="E37" s="329"/>
      <c r="F37" s="330"/>
      <c r="G37" s="330"/>
      <c r="H37" s="330"/>
      <c r="I37" s="330"/>
      <c r="J37" s="313">
        <f>SUM(J30:J33,H35:I36)</f>
        <v>0</v>
      </c>
      <c r="K37" s="314">
        <f>SUM(K30:K33,K35:K36)</f>
        <v>0</v>
      </c>
      <c r="L37" s="315">
        <f>SUM(L30:L36)</f>
        <v>0</v>
      </c>
      <c r="M37" s="1299"/>
      <c r="N37" s="329"/>
      <c r="O37" s="330"/>
      <c r="P37" s="330"/>
      <c r="Q37" s="330"/>
      <c r="R37" s="330"/>
      <c r="S37" s="313">
        <f>SUM(S30:S33,Q35:R36)</f>
        <v>0</v>
      </c>
      <c r="T37" s="314">
        <f>SUM(T30:T33,T35:T36)</f>
        <v>0</v>
      </c>
      <c r="U37" s="315">
        <f>SUM(U30:U36)</f>
        <v>0</v>
      </c>
      <c r="V37" s="1227"/>
      <c r="W37" s="329"/>
      <c r="X37" s="330"/>
      <c r="Y37" s="330"/>
      <c r="Z37" s="330"/>
      <c r="AA37" s="330"/>
      <c r="AB37" s="313">
        <f>SUM(AB30:AB33,Z35:AA36)</f>
        <v>0</v>
      </c>
      <c r="AC37" s="314">
        <f>SUM(AC30:AC33,AC35:AC36)</f>
        <v>0</v>
      </c>
      <c r="AD37" s="315">
        <f>SUM(AD30:AD36)</f>
        <v>0</v>
      </c>
      <c r="AE37" s="1227"/>
      <c r="AF37" s="329"/>
      <c r="AG37" s="330"/>
      <c r="AH37" s="330"/>
      <c r="AI37" s="330"/>
      <c r="AJ37" s="330"/>
      <c r="AK37" s="313">
        <f>SUM(AK30:AK33,AI35:AJ36)</f>
        <v>0</v>
      </c>
      <c r="AL37" s="314">
        <f>SUM(AL30:AL33,AL35:AL36)</f>
        <v>0</v>
      </c>
      <c r="AM37" s="315">
        <f>SUM(AM30:AM36)</f>
        <v>0</v>
      </c>
      <c r="AN37" s="1227"/>
      <c r="AO37" s="329"/>
      <c r="AP37" s="330"/>
      <c r="AQ37" s="330"/>
      <c r="AR37" s="330"/>
      <c r="AS37" s="330"/>
      <c r="AT37" s="313">
        <f>SUM(AT30:AT33,AR35:AS36)</f>
        <v>0</v>
      </c>
      <c r="AU37" s="314">
        <f>SUM(AU30:AU33,AU35:AU36)</f>
        <v>0</v>
      </c>
      <c r="AV37" s="315">
        <f>SUM(AV30:AV36)</f>
        <v>0</v>
      </c>
    </row>
    <row r="38" spans="1:48" ht="15.75" customHeight="1" thickBot="1">
      <c r="A38" s="1585"/>
      <c r="B38" s="1585"/>
      <c r="C38" s="1586"/>
      <c r="D38" s="331"/>
      <c r="E38" s="1334"/>
      <c r="F38" s="1335"/>
      <c r="G38" s="1335"/>
      <c r="H38" s="1335"/>
      <c r="I38" s="1335"/>
      <c r="J38" s="1335"/>
      <c r="K38" s="1335"/>
      <c r="L38" s="1336"/>
      <c r="M38" s="1299"/>
      <c r="N38" s="1334"/>
      <c r="O38" s="1335"/>
      <c r="P38" s="1335"/>
      <c r="Q38" s="1335"/>
      <c r="R38" s="1335"/>
      <c r="S38" s="1335"/>
      <c r="T38" s="1335"/>
      <c r="U38" s="1336"/>
      <c r="V38" s="1227"/>
      <c r="W38" s="1334"/>
      <c r="X38" s="1335"/>
      <c r="Y38" s="1335"/>
      <c r="Z38" s="1335"/>
      <c r="AA38" s="1335"/>
      <c r="AB38" s="1335"/>
      <c r="AC38" s="1335"/>
      <c r="AD38" s="1336"/>
      <c r="AE38" s="1227"/>
      <c r="AF38" s="1229"/>
      <c r="AG38" s="1230"/>
      <c r="AH38" s="1230"/>
      <c r="AI38" s="1230"/>
      <c r="AJ38" s="1230"/>
      <c r="AK38" s="1230"/>
      <c r="AL38" s="1230"/>
      <c r="AM38" s="1277"/>
      <c r="AN38" s="1227"/>
      <c r="AO38" s="1229"/>
      <c r="AP38" s="1230"/>
      <c r="AQ38" s="1230"/>
      <c r="AR38" s="1230"/>
      <c r="AS38" s="1230"/>
      <c r="AT38" s="1230"/>
      <c r="AU38" s="1230"/>
      <c r="AV38" s="1277"/>
    </row>
    <row r="39" spans="1:48" ht="15.75" customHeight="1" thickBot="1">
      <c r="A39" s="1337" t="s">
        <v>179</v>
      </c>
      <c r="B39" s="1338"/>
      <c r="C39" s="1339"/>
      <c r="D39" s="331"/>
      <c r="E39" s="307"/>
      <c r="F39" s="308"/>
      <c r="G39" s="308"/>
      <c r="H39" s="308"/>
      <c r="I39" s="308"/>
      <c r="J39" s="309">
        <f>+J18+J27+J37</f>
        <v>0</v>
      </c>
      <c r="K39" s="309">
        <f t="shared" ref="K39:L39" si="17">+K18+K27+K37</f>
        <v>0</v>
      </c>
      <c r="L39" s="309">
        <f t="shared" si="17"/>
        <v>0</v>
      </c>
      <c r="M39" s="1299"/>
      <c r="N39" s="307"/>
      <c r="O39" s="308"/>
      <c r="P39" s="308"/>
      <c r="Q39" s="308"/>
      <c r="R39" s="308"/>
      <c r="S39" s="309">
        <f>+S18+S27+S37</f>
        <v>0</v>
      </c>
      <c r="T39" s="309">
        <f t="shared" ref="T39:U39" si="18">+T18+T27+T37</f>
        <v>0</v>
      </c>
      <c r="U39" s="309">
        <f t="shared" si="18"/>
        <v>0</v>
      </c>
      <c r="V39" s="1227"/>
      <c r="W39" s="307"/>
      <c r="X39" s="308"/>
      <c r="Y39" s="308"/>
      <c r="Z39" s="308"/>
      <c r="AA39" s="308"/>
      <c r="AB39" s="309">
        <f>+AB18+AB27+AB37</f>
        <v>0</v>
      </c>
      <c r="AC39" s="309">
        <f t="shared" ref="AC39:AD39" si="19">+AC18+AC27+AC37</f>
        <v>0</v>
      </c>
      <c r="AD39" s="309">
        <f t="shared" si="19"/>
        <v>0</v>
      </c>
      <c r="AE39" s="1227"/>
      <c r="AF39" s="307"/>
      <c r="AG39" s="308"/>
      <c r="AH39" s="308"/>
      <c r="AI39" s="308"/>
      <c r="AJ39" s="308"/>
      <c r="AK39" s="309">
        <f>+AK18+AK27+AK37</f>
        <v>0</v>
      </c>
      <c r="AL39" s="309">
        <f t="shared" ref="AL39:AM39" si="20">+AL18+AL27+AL37</f>
        <v>0</v>
      </c>
      <c r="AM39" s="309">
        <f t="shared" si="20"/>
        <v>0</v>
      </c>
      <c r="AN39" s="1227"/>
      <c r="AO39" s="307"/>
      <c r="AP39" s="308"/>
      <c r="AQ39" s="308"/>
      <c r="AR39" s="308"/>
      <c r="AS39" s="308"/>
      <c r="AT39" s="309">
        <f>+AT18+AT27+AT37</f>
        <v>0</v>
      </c>
      <c r="AU39" s="309">
        <f t="shared" ref="AU39:AV39" si="21">+AU18+AU27+AU37</f>
        <v>0</v>
      </c>
      <c r="AV39" s="309">
        <f t="shared" si="21"/>
        <v>0</v>
      </c>
    </row>
    <row r="40" spans="1:48" ht="15" customHeight="1" thickBot="1">
      <c r="A40" s="1585"/>
      <c r="B40" s="1585"/>
      <c r="C40" s="1586"/>
      <c r="D40" s="331"/>
      <c r="E40" s="1288"/>
      <c r="F40" s="1289"/>
      <c r="G40" s="1289"/>
      <c r="H40" s="1289"/>
      <c r="I40" s="1289"/>
      <c r="J40" s="1289"/>
      <c r="K40" s="1289"/>
      <c r="L40" s="1290"/>
      <c r="M40" s="1299"/>
      <c r="N40" s="1288"/>
      <c r="O40" s="1289"/>
      <c r="P40" s="1289"/>
      <c r="Q40" s="1289"/>
      <c r="R40" s="1289"/>
      <c r="S40" s="1289"/>
      <c r="T40" s="1289"/>
      <c r="U40" s="1290"/>
      <c r="V40" s="1227"/>
      <c r="W40" s="1288"/>
      <c r="X40" s="1289"/>
      <c r="Y40" s="1289"/>
      <c r="Z40" s="1289"/>
      <c r="AA40" s="1289"/>
      <c r="AB40" s="1289"/>
      <c r="AC40" s="1289"/>
      <c r="AD40" s="1290"/>
      <c r="AE40" s="1227"/>
      <c r="AF40" s="1264"/>
      <c r="AG40" s="1265"/>
      <c r="AH40" s="1265"/>
      <c r="AI40" s="1265"/>
      <c r="AJ40" s="1265"/>
      <c r="AK40" s="1265"/>
      <c r="AL40" s="1265"/>
      <c r="AM40" s="1266"/>
      <c r="AN40" s="1227"/>
      <c r="AO40" s="1264"/>
      <c r="AP40" s="1265"/>
      <c r="AQ40" s="1265"/>
      <c r="AR40" s="1265"/>
      <c r="AS40" s="1265"/>
      <c r="AT40" s="1265"/>
      <c r="AU40" s="1265"/>
      <c r="AV40" s="1266"/>
    </row>
    <row r="41" spans="1:48" ht="15" customHeight="1" thickBot="1">
      <c r="A41" s="1340" t="s">
        <v>180</v>
      </c>
      <c r="B41" s="1341"/>
      <c r="C41" s="1342"/>
      <c r="D41" s="331"/>
      <c r="E41" s="662"/>
      <c r="F41" s="254"/>
      <c r="G41" s="254"/>
      <c r="H41" s="254"/>
      <c r="I41" s="254"/>
      <c r="J41" s="254"/>
      <c r="K41" s="254"/>
      <c r="L41" s="255"/>
      <c r="M41" s="1299"/>
      <c r="N41" s="1343"/>
      <c r="O41" s="1344"/>
      <c r="P41" s="1344"/>
      <c r="Q41" s="1344"/>
      <c r="R41" s="1344"/>
      <c r="S41" s="1344"/>
      <c r="T41" s="1344"/>
      <c r="U41" s="258"/>
      <c r="V41" s="1227"/>
      <c r="W41" s="257"/>
      <c r="X41" s="256"/>
      <c r="Y41" s="256"/>
      <c r="Z41" s="256"/>
      <c r="AA41" s="256"/>
      <c r="AB41" s="256"/>
      <c r="AC41" s="256"/>
      <c r="AD41" s="258"/>
      <c r="AE41" s="1227"/>
      <c r="AF41" s="257"/>
      <c r="AG41" s="256"/>
      <c r="AH41" s="256"/>
      <c r="AI41" s="256"/>
      <c r="AJ41" s="256"/>
      <c r="AK41" s="256"/>
      <c r="AL41" s="256"/>
      <c r="AM41" s="258"/>
      <c r="AN41" s="1227"/>
      <c r="AO41" s="257"/>
      <c r="AP41" s="256"/>
      <c r="AQ41" s="256"/>
      <c r="AR41" s="256"/>
      <c r="AS41" s="256"/>
      <c r="AT41" s="256"/>
      <c r="AU41" s="256"/>
      <c r="AV41" s="258"/>
    </row>
    <row r="42" spans="1:48" ht="7.5" customHeight="1" thickBot="1">
      <c r="A42" s="1316"/>
      <c r="B42" s="1316"/>
      <c r="C42" s="1317"/>
      <c r="D42" s="331"/>
      <c r="E42" s="1235"/>
      <c r="F42" s="1236"/>
      <c r="G42" s="1236"/>
      <c r="H42" s="1236"/>
      <c r="I42" s="1236"/>
      <c r="J42" s="1236"/>
      <c r="K42" s="1236"/>
      <c r="L42" s="1236"/>
      <c r="M42" s="1299"/>
      <c r="N42" s="1235"/>
      <c r="O42" s="1236"/>
      <c r="P42" s="1236"/>
      <c r="Q42" s="1236"/>
      <c r="R42" s="1236"/>
      <c r="S42" s="1236"/>
      <c r="T42" s="1236"/>
      <c r="U42" s="1236"/>
      <c r="V42" s="1227"/>
      <c r="W42" s="1235"/>
      <c r="X42" s="1236"/>
      <c r="Y42" s="1236"/>
      <c r="Z42" s="1236"/>
      <c r="AA42" s="1236"/>
      <c r="AB42" s="1236"/>
      <c r="AC42" s="1236"/>
      <c r="AD42" s="1236"/>
      <c r="AE42" s="1227"/>
      <c r="AF42" s="1235"/>
      <c r="AG42" s="1236"/>
      <c r="AH42" s="1236"/>
      <c r="AI42" s="1236"/>
      <c r="AJ42" s="1236"/>
      <c r="AK42" s="1236"/>
      <c r="AL42" s="1236"/>
      <c r="AM42" s="1236"/>
      <c r="AN42" s="1227"/>
      <c r="AO42" s="1235"/>
      <c r="AP42" s="1236"/>
      <c r="AQ42" s="1236"/>
      <c r="AR42" s="1236"/>
      <c r="AS42" s="1236"/>
      <c r="AT42" s="1236"/>
      <c r="AU42" s="1236"/>
      <c r="AV42" s="1236"/>
    </row>
    <row r="43" spans="1:48" ht="15" customHeight="1">
      <c r="A43" s="1307" t="s">
        <v>181</v>
      </c>
      <c r="B43" s="1307"/>
      <c r="C43" s="1308"/>
      <c r="D43" s="331"/>
      <c r="E43" s="1243" t="s">
        <v>271</v>
      </c>
      <c r="F43" s="1244"/>
      <c r="G43" s="1244" t="s">
        <v>191</v>
      </c>
      <c r="H43" s="1244"/>
      <c r="I43" s="1244"/>
      <c r="J43" s="1244"/>
      <c r="K43" s="1244"/>
      <c r="L43" s="1245"/>
      <c r="M43" s="1299"/>
      <c r="N43" s="1243" t="s">
        <v>271</v>
      </c>
      <c r="O43" s="1244"/>
      <c r="P43" s="1244" t="s">
        <v>191</v>
      </c>
      <c r="Q43" s="1244"/>
      <c r="R43" s="1244"/>
      <c r="S43" s="1244"/>
      <c r="T43" s="1244"/>
      <c r="U43" s="1245"/>
      <c r="V43" s="1227"/>
      <c r="W43" s="1243" t="s">
        <v>271</v>
      </c>
      <c r="X43" s="1244"/>
      <c r="Y43" s="1244" t="s">
        <v>191</v>
      </c>
      <c r="Z43" s="1244"/>
      <c r="AA43" s="1244"/>
      <c r="AB43" s="1244"/>
      <c r="AC43" s="1244"/>
      <c r="AD43" s="1245"/>
      <c r="AE43" s="1227"/>
      <c r="AF43" s="1243" t="s">
        <v>271</v>
      </c>
      <c r="AG43" s="1244"/>
      <c r="AH43" s="1244" t="s">
        <v>191</v>
      </c>
      <c r="AI43" s="1244"/>
      <c r="AJ43" s="1244"/>
      <c r="AK43" s="1244"/>
      <c r="AL43" s="1244"/>
      <c r="AM43" s="1245"/>
      <c r="AN43" s="1227"/>
      <c r="AO43" s="1243" t="s">
        <v>271</v>
      </c>
      <c r="AP43" s="1244"/>
      <c r="AQ43" s="1244" t="s">
        <v>191</v>
      </c>
      <c r="AR43" s="1244"/>
      <c r="AS43" s="1244"/>
      <c r="AT43" s="1244"/>
      <c r="AU43" s="1244"/>
      <c r="AV43" s="1245"/>
    </row>
    <row r="44" spans="1:48" ht="15" customHeight="1">
      <c r="A44" s="1312" t="s">
        <v>272</v>
      </c>
      <c r="B44" s="1312"/>
      <c r="C44" s="1313"/>
      <c r="D44" s="331"/>
      <c r="E44" s="1249"/>
      <c r="F44" s="1250"/>
      <c r="G44" s="1587"/>
      <c r="H44" s="1587"/>
      <c r="I44" s="1587"/>
      <c r="J44" s="1587"/>
      <c r="K44" s="1588"/>
      <c r="L44" s="143">
        <v>0</v>
      </c>
      <c r="M44" s="1299"/>
      <c r="N44" s="1249"/>
      <c r="O44" s="1250"/>
      <c r="P44" s="1587"/>
      <c r="Q44" s="1587"/>
      <c r="R44" s="1587"/>
      <c r="S44" s="1587"/>
      <c r="T44" s="1588"/>
      <c r="U44" s="143">
        <v>0</v>
      </c>
      <c r="V44" s="1227"/>
      <c r="W44" s="1249"/>
      <c r="X44" s="1250"/>
      <c r="Y44" s="1587"/>
      <c r="Z44" s="1587"/>
      <c r="AA44" s="1587"/>
      <c r="AB44" s="1587"/>
      <c r="AC44" s="1588"/>
      <c r="AD44" s="143">
        <v>0</v>
      </c>
      <c r="AE44" s="1227"/>
      <c r="AF44" s="1249"/>
      <c r="AG44" s="1250"/>
      <c r="AH44" s="1587"/>
      <c r="AI44" s="1587"/>
      <c r="AJ44" s="1587"/>
      <c r="AK44" s="1587"/>
      <c r="AL44" s="1588"/>
      <c r="AM44" s="143">
        <v>0</v>
      </c>
      <c r="AN44" s="1227"/>
      <c r="AO44" s="1249"/>
      <c r="AP44" s="1250"/>
      <c r="AQ44" s="1587"/>
      <c r="AR44" s="1587"/>
      <c r="AS44" s="1587"/>
      <c r="AT44" s="1587"/>
      <c r="AU44" s="1588"/>
      <c r="AV44" s="322">
        <v>0</v>
      </c>
    </row>
    <row r="45" spans="1:48" ht="15" customHeight="1">
      <c r="A45" s="1314" t="s">
        <v>273</v>
      </c>
      <c r="B45" s="1314"/>
      <c r="C45" s="1315"/>
      <c r="D45" s="331"/>
      <c r="E45" s="1214"/>
      <c r="F45" s="1215"/>
      <c r="G45" s="1533"/>
      <c r="H45" s="1533"/>
      <c r="I45" s="1533"/>
      <c r="J45" s="1533"/>
      <c r="K45" s="1534"/>
      <c r="L45" s="145">
        <v>0</v>
      </c>
      <c r="M45" s="1299"/>
      <c r="N45" s="1214"/>
      <c r="O45" s="1215"/>
      <c r="P45" s="1533"/>
      <c r="Q45" s="1533"/>
      <c r="R45" s="1533"/>
      <c r="S45" s="1533"/>
      <c r="T45" s="1534"/>
      <c r="U45" s="145">
        <v>0</v>
      </c>
      <c r="V45" s="1227"/>
      <c r="W45" s="1214"/>
      <c r="X45" s="1215"/>
      <c r="Y45" s="1533"/>
      <c r="Z45" s="1533"/>
      <c r="AA45" s="1533"/>
      <c r="AB45" s="1533"/>
      <c r="AC45" s="1534"/>
      <c r="AD45" s="145">
        <v>0</v>
      </c>
      <c r="AE45" s="1227"/>
      <c r="AF45" s="1214"/>
      <c r="AG45" s="1215"/>
      <c r="AH45" s="1533"/>
      <c r="AI45" s="1533"/>
      <c r="AJ45" s="1533"/>
      <c r="AK45" s="1533"/>
      <c r="AL45" s="1534"/>
      <c r="AM45" s="145">
        <v>0</v>
      </c>
      <c r="AN45" s="1227"/>
      <c r="AO45" s="1214"/>
      <c r="AP45" s="1215"/>
      <c r="AQ45" s="1533"/>
      <c r="AR45" s="1533"/>
      <c r="AS45" s="1533"/>
      <c r="AT45" s="1533"/>
      <c r="AU45" s="1534"/>
      <c r="AV45" s="663">
        <v>0</v>
      </c>
    </row>
    <row r="46" spans="1:48" ht="15" customHeight="1" thickBot="1">
      <c r="A46" s="1319" t="s">
        <v>274</v>
      </c>
      <c r="B46" s="1319"/>
      <c r="C46" s="1320"/>
      <c r="D46" s="331"/>
      <c r="E46" s="1251"/>
      <c r="F46" s="1252"/>
      <c r="G46" s="1589"/>
      <c r="H46" s="1589"/>
      <c r="I46" s="1589"/>
      <c r="J46" s="1589"/>
      <c r="K46" s="1590"/>
      <c r="L46" s="144">
        <v>0</v>
      </c>
      <c r="M46" s="1299"/>
      <c r="N46" s="1251"/>
      <c r="O46" s="1252"/>
      <c r="P46" s="1589"/>
      <c r="Q46" s="1589"/>
      <c r="R46" s="1589"/>
      <c r="S46" s="1589"/>
      <c r="T46" s="1590"/>
      <c r="U46" s="144">
        <v>0</v>
      </c>
      <c r="V46" s="1227"/>
      <c r="W46" s="1251"/>
      <c r="X46" s="1252"/>
      <c r="Y46" s="1589"/>
      <c r="Z46" s="1589"/>
      <c r="AA46" s="1589"/>
      <c r="AB46" s="1589"/>
      <c r="AC46" s="1590"/>
      <c r="AD46" s="144">
        <v>0</v>
      </c>
      <c r="AE46" s="1227"/>
      <c r="AF46" s="1251"/>
      <c r="AG46" s="1252"/>
      <c r="AH46" s="1589"/>
      <c r="AI46" s="1589"/>
      <c r="AJ46" s="1589"/>
      <c r="AK46" s="1589"/>
      <c r="AL46" s="1590"/>
      <c r="AM46" s="144">
        <v>0</v>
      </c>
      <c r="AN46" s="1227"/>
      <c r="AO46" s="1251"/>
      <c r="AP46" s="1252"/>
      <c r="AQ46" s="1589"/>
      <c r="AR46" s="1589"/>
      <c r="AS46" s="1589"/>
      <c r="AT46" s="1589"/>
      <c r="AU46" s="1590"/>
      <c r="AV46" s="323">
        <v>0</v>
      </c>
    </row>
    <row r="47" spans="1:48" ht="15" customHeight="1" thickBot="1">
      <c r="A47" s="1309" t="s">
        <v>275</v>
      </c>
      <c r="B47" s="1310"/>
      <c r="C47" s="1311"/>
      <c r="D47" s="331"/>
      <c r="E47" s="1591"/>
      <c r="F47" s="1592"/>
      <c r="G47" s="1592"/>
      <c r="H47" s="1592"/>
      <c r="I47" s="1592"/>
      <c r="J47" s="1592"/>
      <c r="K47" s="1593"/>
      <c r="L47" s="312">
        <f>SUM(L44:L46)</f>
        <v>0</v>
      </c>
      <c r="M47" s="1299"/>
      <c r="N47" s="1591"/>
      <c r="O47" s="1592"/>
      <c r="P47" s="1592"/>
      <c r="Q47" s="1592"/>
      <c r="R47" s="1592"/>
      <c r="S47" s="1592"/>
      <c r="T47" s="1593"/>
      <c r="U47" s="312">
        <f>SUM(U44:U46)</f>
        <v>0</v>
      </c>
      <c r="V47" s="1227"/>
      <c r="W47" s="1591"/>
      <c r="X47" s="1592"/>
      <c r="Y47" s="1592"/>
      <c r="Z47" s="1592"/>
      <c r="AA47" s="1592"/>
      <c r="AB47" s="1592"/>
      <c r="AC47" s="1593"/>
      <c r="AD47" s="312">
        <f>SUM(AD44:AD46)</f>
        <v>0</v>
      </c>
      <c r="AE47" s="1227"/>
      <c r="AF47" s="1591"/>
      <c r="AG47" s="1592"/>
      <c r="AH47" s="1592"/>
      <c r="AI47" s="1592"/>
      <c r="AJ47" s="1592"/>
      <c r="AK47" s="1592"/>
      <c r="AL47" s="1593"/>
      <c r="AM47" s="312">
        <f>SUM(AM44:AM46)</f>
        <v>0</v>
      </c>
      <c r="AN47" s="1227"/>
      <c r="AO47" s="1591"/>
      <c r="AP47" s="1592"/>
      <c r="AQ47" s="1592"/>
      <c r="AR47" s="1592"/>
      <c r="AS47" s="1592"/>
      <c r="AT47" s="1592"/>
      <c r="AU47" s="1593"/>
      <c r="AV47" s="312">
        <f>SUM(AV44:AV46)</f>
        <v>0</v>
      </c>
    </row>
    <row r="48" spans="1:48" ht="7.5" customHeight="1" thickBot="1">
      <c r="A48" s="961"/>
      <c r="B48" s="961"/>
      <c r="C48" s="1318"/>
      <c r="D48" s="343"/>
      <c r="E48" s="1235"/>
      <c r="F48" s="1236"/>
      <c r="G48" s="1236"/>
      <c r="H48" s="1236"/>
      <c r="I48" s="1236"/>
      <c r="J48" s="1236"/>
      <c r="K48" s="1236"/>
      <c r="L48" s="1236"/>
      <c r="M48" s="1299"/>
      <c r="N48" s="1235"/>
      <c r="O48" s="1236"/>
      <c r="P48" s="1236"/>
      <c r="Q48" s="1236"/>
      <c r="R48" s="1236"/>
      <c r="S48" s="1236"/>
      <c r="T48" s="1236"/>
      <c r="U48" s="1236"/>
      <c r="V48" s="1227"/>
      <c r="W48" s="1235"/>
      <c r="X48" s="1236"/>
      <c r="Y48" s="1236"/>
      <c r="Z48" s="1236"/>
      <c r="AA48" s="1236"/>
      <c r="AB48" s="1236"/>
      <c r="AC48" s="1236"/>
      <c r="AD48" s="1236"/>
      <c r="AE48" s="1227"/>
      <c r="AF48" s="1235"/>
      <c r="AG48" s="1236"/>
      <c r="AH48" s="1236"/>
      <c r="AI48" s="1236"/>
      <c r="AJ48" s="1236"/>
      <c r="AK48" s="1236"/>
      <c r="AL48" s="1236"/>
      <c r="AM48" s="1236"/>
      <c r="AN48" s="1227"/>
      <c r="AO48" s="1235"/>
      <c r="AP48" s="1236"/>
      <c r="AQ48" s="1236"/>
      <c r="AR48" s="1236"/>
      <c r="AS48" s="1236"/>
      <c r="AT48" s="1236"/>
      <c r="AU48" s="1236"/>
      <c r="AV48" s="1236"/>
    </row>
    <row r="49" spans="1:48" ht="15" customHeight="1">
      <c r="A49" s="1307" t="s">
        <v>276</v>
      </c>
      <c r="B49" s="1307"/>
      <c r="C49" s="1308"/>
      <c r="D49" s="331"/>
      <c r="E49" s="1237" t="s">
        <v>271</v>
      </c>
      <c r="F49" s="1238"/>
      <c r="G49" s="1238" t="s">
        <v>191</v>
      </c>
      <c r="H49" s="1238"/>
      <c r="I49" s="1238"/>
      <c r="J49" s="1238"/>
      <c r="K49" s="1238"/>
      <c r="L49" s="1253"/>
      <c r="M49" s="1299"/>
      <c r="N49" s="1237" t="s">
        <v>271</v>
      </c>
      <c r="O49" s="1238"/>
      <c r="P49" s="1238" t="s">
        <v>191</v>
      </c>
      <c r="Q49" s="1238"/>
      <c r="R49" s="1238"/>
      <c r="S49" s="1238"/>
      <c r="T49" s="1238"/>
      <c r="U49" s="1253"/>
      <c r="V49" s="1227"/>
      <c r="W49" s="1237" t="s">
        <v>271</v>
      </c>
      <c r="X49" s="1238"/>
      <c r="Y49" s="1238" t="s">
        <v>191</v>
      </c>
      <c r="Z49" s="1238"/>
      <c r="AA49" s="1238"/>
      <c r="AB49" s="1238"/>
      <c r="AC49" s="1238"/>
      <c r="AD49" s="1253"/>
      <c r="AE49" s="1227"/>
      <c r="AF49" s="1237" t="s">
        <v>271</v>
      </c>
      <c r="AG49" s="1238"/>
      <c r="AH49" s="1238" t="s">
        <v>191</v>
      </c>
      <c r="AI49" s="1238"/>
      <c r="AJ49" s="1238"/>
      <c r="AK49" s="1238"/>
      <c r="AL49" s="1238"/>
      <c r="AM49" s="1253"/>
      <c r="AN49" s="1227"/>
      <c r="AO49" s="1237" t="s">
        <v>271</v>
      </c>
      <c r="AP49" s="1238"/>
      <c r="AQ49" s="1238" t="s">
        <v>191</v>
      </c>
      <c r="AR49" s="1238"/>
      <c r="AS49" s="1238"/>
      <c r="AT49" s="1238"/>
      <c r="AU49" s="1238"/>
      <c r="AV49" s="1253"/>
    </row>
    <row r="50" spans="1:48" ht="15" customHeight="1">
      <c r="A50" s="1312"/>
      <c r="B50" s="1312"/>
      <c r="C50" s="1313"/>
      <c r="D50" s="331"/>
      <c r="E50" s="1254"/>
      <c r="F50" s="1255"/>
      <c r="G50" s="1594"/>
      <c r="H50" s="1594"/>
      <c r="I50" s="1594"/>
      <c r="J50" s="1594"/>
      <c r="K50" s="1595"/>
      <c r="L50" s="143">
        <v>0</v>
      </c>
      <c r="M50" s="1299"/>
      <c r="N50" s="1254"/>
      <c r="O50" s="1255"/>
      <c r="P50" s="1594"/>
      <c r="Q50" s="1594"/>
      <c r="R50" s="1594"/>
      <c r="S50" s="1594"/>
      <c r="T50" s="1595"/>
      <c r="U50" s="143">
        <v>0</v>
      </c>
      <c r="V50" s="1227"/>
      <c r="W50" s="1254"/>
      <c r="X50" s="1255"/>
      <c r="Y50" s="1594"/>
      <c r="Z50" s="1594"/>
      <c r="AA50" s="1594"/>
      <c r="AB50" s="1594"/>
      <c r="AC50" s="1595"/>
      <c r="AD50" s="143">
        <v>0</v>
      </c>
      <c r="AE50" s="1227"/>
      <c r="AF50" s="1254"/>
      <c r="AG50" s="1255"/>
      <c r="AH50" s="1594"/>
      <c r="AI50" s="1594"/>
      <c r="AJ50" s="1594"/>
      <c r="AK50" s="1594"/>
      <c r="AL50" s="1595"/>
      <c r="AM50" s="143">
        <v>0</v>
      </c>
      <c r="AN50" s="1227"/>
      <c r="AO50" s="1254"/>
      <c r="AP50" s="1255"/>
      <c r="AQ50" s="1594"/>
      <c r="AR50" s="1594"/>
      <c r="AS50" s="1594"/>
      <c r="AT50" s="1594"/>
      <c r="AU50" s="1595"/>
      <c r="AV50" s="143">
        <v>0</v>
      </c>
    </row>
    <row r="51" spans="1:48" ht="15.75" customHeight="1" thickBot="1">
      <c r="A51" s="1596"/>
      <c r="B51" s="1596"/>
      <c r="C51" s="1597"/>
      <c r="D51" s="331"/>
      <c r="E51" s="1241"/>
      <c r="F51" s="1242"/>
      <c r="G51" s="1598"/>
      <c r="H51" s="1598"/>
      <c r="I51" s="1598"/>
      <c r="J51" s="1598"/>
      <c r="K51" s="1599"/>
      <c r="L51" s="144">
        <v>0</v>
      </c>
      <c r="M51" s="1299"/>
      <c r="N51" s="1241"/>
      <c r="O51" s="1242"/>
      <c r="P51" s="1598"/>
      <c r="Q51" s="1598"/>
      <c r="R51" s="1598"/>
      <c r="S51" s="1598"/>
      <c r="T51" s="1599"/>
      <c r="U51" s="144">
        <v>0</v>
      </c>
      <c r="V51" s="1227"/>
      <c r="W51" s="1241"/>
      <c r="X51" s="1242"/>
      <c r="Y51" s="1598"/>
      <c r="Z51" s="1598"/>
      <c r="AA51" s="1598"/>
      <c r="AB51" s="1598"/>
      <c r="AC51" s="1599"/>
      <c r="AD51" s="144">
        <v>0</v>
      </c>
      <c r="AE51" s="1227"/>
      <c r="AF51" s="1241"/>
      <c r="AG51" s="1242"/>
      <c r="AH51" s="1598"/>
      <c r="AI51" s="1598"/>
      <c r="AJ51" s="1598"/>
      <c r="AK51" s="1598"/>
      <c r="AL51" s="1599"/>
      <c r="AM51" s="144">
        <v>0</v>
      </c>
      <c r="AN51" s="1227"/>
      <c r="AO51" s="1241"/>
      <c r="AP51" s="1242"/>
      <c r="AQ51" s="1598"/>
      <c r="AR51" s="1598"/>
      <c r="AS51" s="1598"/>
      <c r="AT51" s="1598"/>
      <c r="AU51" s="1599"/>
      <c r="AV51" s="144">
        <v>0</v>
      </c>
    </row>
    <row r="52" spans="1:48" ht="15.75" customHeight="1" thickBot="1">
      <c r="A52" s="1321" t="s">
        <v>277</v>
      </c>
      <c r="B52" s="1322"/>
      <c r="C52" s="1323"/>
      <c r="D52" s="331"/>
      <c r="E52" s="306"/>
      <c r="F52" s="305"/>
      <c r="G52" s="305"/>
      <c r="H52" s="305"/>
      <c r="I52" s="305"/>
      <c r="J52" s="305"/>
      <c r="K52" s="305"/>
      <c r="L52" s="344">
        <f>SUM(L50:L51)</f>
        <v>0</v>
      </c>
      <c r="M52" s="1299"/>
      <c r="N52" s="306"/>
      <c r="O52" s="305"/>
      <c r="P52" s="305"/>
      <c r="Q52" s="305"/>
      <c r="R52" s="305"/>
      <c r="S52" s="305"/>
      <c r="T52" s="305"/>
      <c r="U52" s="312">
        <f>SUM(U50:U51)</f>
        <v>0</v>
      </c>
      <c r="V52" s="1227"/>
      <c r="W52" s="306"/>
      <c r="X52" s="305"/>
      <c r="Y52" s="305"/>
      <c r="Z52" s="305"/>
      <c r="AA52" s="305"/>
      <c r="AB52" s="305"/>
      <c r="AC52" s="305"/>
      <c r="AD52" s="312">
        <f>SUM(AD50:AD51)</f>
        <v>0</v>
      </c>
      <c r="AE52" s="1227"/>
      <c r="AF52" s="306"/>
      <c r="AG52" s="305"/>
      <c r="AH52" s="305"/>
      <c r="AI52" s="305"/>
      <c r="AJ52" s="305"/>
      <c r="AK52" s="305"/>
      <c r="AL52" s="305"/>
      <c r="AM52" s="312">
        <f>SUM(AM50:AM51)</f>
        <v>0</v>
      </c>
      <c r="AN52" s="1227"/>
      <c r="AO52" s="306"/>
      <c r="AP52" s="305"/>
      <c r="AQ52" s="305"/>
      <c r="AR52" s="305"/>
      <c r="AS52" s="305"/>
      <c r="AT52" s="305"/>
      <c r="AU52" s="305"/>
      <c r="AV52" s="312">
        <f>SUM(AV50:AV51)</f>
        <v>0</v>
      </c>
    </row>
    <row r="53" spans="1:48" ht="7.5" customHeight="1" thickBot="1">
      <c r="A53" s="1316"/>
      <c r="B53" s="1316"/>
      <c r="C53" s="1317"/>
      <c r="D53" s="343"/>
      <c r="E53" s="1235"/>
      <c r="F53" s="1236"/>
      <c r="G53" s="1236"/>
      <c r="H53" s="1236"/>
      <c r="I53" s="1236"/>
      <c r="J53" s="1236"/>
      <c r="K53" s="1236"/>
      <c r="L53" s="1236"/>
      <c r="M53" s="1299"/>
      <c r="N53" s="1235"/>
      <c r="O53" s="1236"/>
      <c r="P53" s="1236"/>
      <c r="Q53" s="1236"/>
      <c r="R53" s="1236"/>
      <c r="S53" s="1236"/>
      <c r="T53" s="1236"/>
      <c r="U53" s="1236"/>
      <c r="V53" s="1227"/>
      <c r="W53" s="1235"/>
      <c r="X53" s="1236"/>
      <c r="Y53" s="1236"/>
      <c r="Z53" s="1236"/>
      <c r="AA53" s="1236"/>
      <c r="AB53" s="1236"/>
      <c r="AC53" s="1236"/>
      <c r="AD53" s="1236"/>
      <c r="AE53" s="1227"/>
      <c r="AF53" s="1235"/>
      <c r="AG53" s="1236"/>
      <c r="AH53" s="1236"/>
      <c r="AI53" s="1236"/>
      <c r="AJ53" s="1236"/>
      <c r="AK53" s="1236"/>
      <c r="AL53" s="1236"/>
      <c r="AM53" s="1236"/>
      <c r="AN53" s="1227"/>
      <c r="AO53" s="1235"/>
      <c r="AP53" s="1236"/>
      <c r="AQ53" s="1236"/>
      <c r="AR53" s="1236"/>
      <c r="AS53" s="1236"/>
      <c r="AT53" s="1236"/>
      <c r="AU53" s="1236"/>
      <c r="AV53" s="1236"/>
    </row>
    <row r="54" spans="1:48" ht="15" customHeight="1">
      <c r="A54" s="1307" t="s">
        <v>194</v>
      </c>
      <c r="B54" s="1307"/>
      <c r="C54" s="1308"/>
      <c r="D54" s="331"/>
      <c r="E54" s="1243" t="s">
        <v>271</v>
      </c>
      <c r="F54" s="1244"/>
      <c r="G54" s="1244" t="s">
        <v>191</v>
      </c>
      <c r="H54" s="1244"/>
      <c r="I54" s="1244"/>
      <c r="J54" s="1244"/>
      <c r="K54" s="1244"/>
      <c r="L54" s="1245"/>
      <c r="M54" s="1299"/>
      <c r="N54" s="1243" t="s">
        <v>271</v>
      </c>
      <c r="O54" s="1244"/>
      <c r="P54" s="1244" t="s">
        <v>191</v>
      </c>
      <c r="Q54" s="1244"/>
      <c r="R54" s="1244"/>
      <c r="S54" s="1244"/>
      <c r="T54" s="1244"/>
      <c r="U54" s="1245"/>
      <c r="V54" s="1227"/>
      <c r="W54" s="1243" t="s">
        <v>271</v>
      </c>
      <c r="X54" s="1244"/>
      <c r="Y54" s="1244" t="s">
        <v>191</v>
      </c>
      <c r="Z54" s="1244"/>
      <c r="AA54" s="1244"/>
      <c r="AB54" s="1244"/>
      <c r="AC54" s="1244"/>
      <c r="AD54" s="1245"/>
      <c r="AE54" s="1227"/>
      <c r="AF54" s="1243" t="s">
        <v>271</v>
      </c>
      <c r="AG54" s="1244"/>
      <c r="AH54" s="1244" t="s">
        <v>191</v>
      </c>
      <c r="AI54" s="1244"/>
      <c r="AJ54" s="1244"/>
      <c r="AK54" s="1244"/>
      <c r="AL54" s="1244"/>
      <c r="AM54" s="1245"/>
      <c r="AN54" s="1227"/>
      <c r="AO54" s="1243" t="s">
        <v>271</v>
      </c>
      <c r="AP54" s="1244"/>
      <c r="AQ54" s="1244" t="s">
        <v>191</v>
      </c>
      <c r="AR54" s="1244"/>
      <c r="AS54" s="1244"/>
      <c r="AT54" s="1244"/>
      <c r="AU54" s="1244"/>
      <c r="AV54" s="1245"/>
    </row>
    <row r="55" spans="1:48">
      <c r="A55" s="1312" t="s">
        <v>196</v>
      </c>
      <c r="B55" s="1312"/>
      <c r="C55" s="1313"/>
      <c r="D55" s="331"/>
      <c r="E55" s="1249"/>
      <c r="F55" s="1250"/>
      <c r="G55" s="1587"/>
      <c r="H55" s="1587"/>
      <c r="I55" s="1587"/>
      <c r="J55" s="1587"/>
      <c r="K55" s="1588"/>
      <c r="L55" s="143">
        <v>0</v>
      </c>
      <c r="M55" s="1299"/>
      <c r="N55" s="1249"/>
      <c r="O55" s="1250"/>
      <c r="P55" s="1587"/>
      <c r="Q55" s="1587"/>
      <c r="R55" s="1587"/>
      <c r="S55" s="1587"/>
      <c r="T55" s="1588"/>
      <c r="U55" s="143">
        <v>0</v>
      </c>
      <c r="V55" s="1227"/>
      <c r="W55" s="1249"/>
      <c r="X55" s="1250"/>
      <c r="Y55" s="1587"/>
      <c r="Z55" s="1587"/>
      <c r="AA55" s="1587"/>
      <c r="AB55" s="1587"/>
      <c r="AC55" s="1588"/>
      <c r="AD55" s="143">
        <v>0</v>
      </c>
      <c r="AE55" s="1227"/>
      <c r="AF55" s="1249"/>
      <c r="AG55" s="1250"/>
      <c r="AH55" s="1587"/>
      <c r="AI55" s="1587"/>
      <c r="AJ55" s="1587"/>
      <c r="AK55" s="1587"/>
      <c r="AL55" s="1588"/>
      <c r="AM55" s="143">
        <v>0</v>
      </c>
      <c r="AN55" s="1227"/>
      <c r="AO55" s="1249"/>
      <c r="AP55" s="1250"/>
      <c r="AQ55" s="1587"/>
      <c r="AR55" s="1587"/>
      <c r="AS55" s="1587"/>
      <c r="AT55" s="1587"/>
      <c r="AU55" s="1588"/>
      <c r="AV55" s="322">
        <v>0</v>
      </c>
    </row>
    <row r="56" spans="1:48">
      <c r="A56" s="1314" t="s">
        <v>120</v>
      </c>
      <c r="B56" s="1314"/>
      <c r="C56" s="1315"/>
      <c r="D56" s="331"/>
      <c r="E56" s="1214"/>
      <c r="F56" s="1215"/>
      <c r="G56" s="1533"/>
      <c r="H56" s="1533"/>
      <c r="I56" s="1533"/>
      <c r="J56" s="1533"/>
      <c r="K56" s="1534"/>
      <c r="L56" s="145">
        <v>0</v>
      </c>
      <c r="M56" s="1299"/>
      <c r="N56" s="1214"/>
      <c r="O56" s="1215"/>
      <c r="P56" s="1533"/>
      <c r="Q56" s="1533"/>
      <c r="R56" s="1533"/>
      <c r="S56" s="1533"/>
      <c r="T56" s="1534"/>
      <c r="U56" s="145">
        <v>0</v>
      </c>
      <c r="V56" s="1227"/>
      <c r="W56" s="1214"/>
      <c r="X56" s="1215"/>
      <c r="Y56" s="1533"/>
      <c r="Z56" s="1533"/>
      <c r="AA56" s="1533"/>
      <c r="AB56" s="1533"/>
      <c r="AC56" s="1534"/>
      <c r="AD56" s="145">
        <v>0</v>
      </c>
      <c r="AE56" s="1227"/>
      <c r="AF56" s="1214"/>
      <c r="AG56" s="1215"/>
      <c r="AH56" s="1533"/>
      <c r="AI56" s="1533"/>
      <c r="AJ56" s="1533"/>
      <c r="AK56" s="1533"/>
      <c r="AL56" s="1534"/>
      <c r="AM56" s="145">
        <v>0</v>
      </c>
      <c r="AN56" s="1227"/>
      <c r="AO56" s="1214"/>
      <c r="AP56" s="1215"/>
      <c r="AQ56" s="1533"/>
      <c r="AR56" s="1533"/>
      <c r="AS56" s="1533"/>
      <c r="AT56" s="1533"/>
      <c r="AU56" s="1534"/>
      <c r="AV56" s="663">
        <v>0</v>
      </c>
    </row>
    <row r="57" spans="1:48">
      <c r="A57" s="1314" t="s">
        <v>199</v>
      </c>
      <c r="B57" s="1314"/>
      <c r="C57" s="1315"/>
      <c r="D57" s="331"/>
      <c r="E57" s="1214"/>
      <c r="F57" s="1215"/>
      <c r="G57" s="1533"/>
      <c r="H57" s="1533"/>
      <c r="I57" s="1533"/>
      <c r="J57" s="1533"/>
      <c r="K57" s="1534"/>
      <c r="L57" s="144">
        <v>0</v>
      </c>
      <c r="M57" s="1299"/>
      <c r="N57" s="1214"/>
      <c r="O57" s="1215"/>
      <c r="P57" s="1533"/>
      <c r="Q57" s="1533"/>
      <c r="R57" s="1533"/>
      <c r="S57" s="1533"/>
      <c r="T57" s="1534"/>
      <c r="U57" s="144">
        <v>0</v>
      </c>
      <c r="V57" s="1227"/>
      <c r="W57" s="1214"/>
      <c r="X57" s="1215"/>
      <c r="Y57" s="1533"/>
      <c r="Z57" s="1533"/>
      <c r="AA57" s="1533"/>
      <c r="AB57" s="1533"/>
      <c r="AC57" s="1534"/>
      <c r="AD57" s="144">
        <v>0</v>
      </c>
      <c r="AE57" s="1227"/>
      <c r="AF57" s="1214"/>
      <c r="AG57" s="1215"/>
      <c r="AH57" s="1533"/>
      <c r="AI57" s="1533"/>
      <c r="AJ57" s="1533"/>
      <c r="AK57" s="1533"/>
      <c r="AL57" s="1534"/>
      <c r="AM57" s="144">
        <v>0</v>
      </c>
      <c r="AN57" s="1227"/>
      <c r="AO57" s="1214"/>
      <c r="AP57" s="1215"/>
      <c r="AQ57" s="1533"/>
      <c r="AR57" s="1533"/>
      <c r="AS57" s="1533"/>
      <c r="AT57" s="1533"/>
      <c r="AU57" s="1534"/>
      <c r="AV57" s="323">
        <v>0</v>
      </c>
    </row>
    <row r="58" spans="1:48" ht="15" thickBot="1">
      <c r="A58" s="1319" t="s">
        <v>200</v>
      </c>
      <c r="B58" s="1319"/>
      <c r="C58" s="1320"/>
      <c r="D58" s="331"/>
      <c r="E58" s="1251"/>
      <c r="F58" s="1252"/>
      <c r="G58" s="1589"/>
      <c r="H58" s="1589"/>
      <c r="I58" s="1589"/>
      <c r="J58" s="1589"/>
      <c r="K58" s="1590"/>
      <c r="L58" s="145">
        <v>0</v>
      </c>
      <c r="M58" s="1299"/>
      <c r="N58" s="1251"/>
      <c r="O58" s="1252"/>
      <c r="P58" s="1589"/>
      <c r="Q58" s="1589"/>
      <c r="R58" s="1589"/>
      <c r="S58" s="1589"/>
      <c r="T58" s="1590"/>
      <c r="U58" s="145">
        <v>0</v>
      </c>
      <c r="V58" s="1227"/>
      <c r="W58" s="1251"/>
      <c r="X58" s="1252"/>
      <c r="Y58" s="1589"/>
      <c r="Z58" s="1589"/>
      <c r="AA58" s="1589"/>
      <c r="AB58" s="1589"/>
      <c r="AC58" s="1590"/>
      <c r="AD58" s="145">
        <v>0</v>
      </c>
      <c r="AE58" s="1227"/>
      <c r="AF58" s="1251"/>
      <c r="AG58" s="1252"/>
      <c r="AH58" s="1589"/>
      <c r="AI58" s="1589"/>
      <c r="AJ58" s="1589"/>
      <c r="AK58" s="1589"/>
      <c r="AL58" s="1590"/>
      <c r="AM58" s="145">
        <v>0</v>
      </c>
      <c r="AN58" s="1227"/>
      <c r="AO58" s="1251"/>
      <c r="AP58" s="1252"/>
      <c r="AQ58" s="1589"/>
      <c r="AR58" s="1589"/>
      <c r="AS58" s="1589"/>
      <c r="AT58" s="1589"/>
      <c r="AU58" s="1590"/>
      <c r="AV58" s="145">
        <v>0</v>
      </c>
    </row>
    <row r="59" spans="1:48" ht="15" customHeight="1" thickBot="1">
      <c r="A59" s="1309" t="s">
        <v>278</v>
      </c>
      <c r="B59" s="1310"/>
      <c r="C59" s="1311"/>
      <c r="D59" s="331"/>
      <c r="E59" s="1591"/>
      <c r="F59" s="1592"/>
      <c r="G59" s="1592"/>
      <c r="H59" s="1592"/>
      <c r="I59" s="1592"/>
      <c r="J59" s="1592"/>
      <c r="K59" s="1593"/>
      <c r="L59" s="312">
        <f>SUM(L55:L58)</f>
        <v>0</v>
      </c>
      <c r="M59" s="1299"/>
      <c r="N59" s="1591"/>
      <c r="O59" s="1592"/>
      <c r="P59" s="1592"/>
      <c r="Q59" s="1592"/>
      <c r="R59" s="1592"/>
      <c r="S59" s="1592"/>
      <c r="T59" s="1593"/>
      <c r="U59" s="312">
        <f>SUM(U55:U58)</f>
        <v>0</v>
      </c>
      <c r="V59" s="1227"/>
      <c r="W59" s="1591"/>
      <c r="X59" s="1592"/>
      <c r="Y59" s="1592"/>
      <c r="Z59" s="1592"/>
      <c r="AA59" s="1592"/>
      <c r="AB59" s="1592"/>
      <c r="AC59" s="1593"/>
      <c r="AD59" s="312">
        <f>SUM(AD55:AD58)</f>
        <v>0</v>
      </c>
      <c r="AE59" s="1227"/>
      <c r="AF59" s="1591"/>
      <c r="AG59" s="1592"/>
      <c r="AH59" s="1592"/>
      <c r="AI59" s="1592"/>
      <c r="AJ59" s="1592"/>
      <c r="AK59" s="1592"/>
      <c r="AL59" s="1593"/>
      <c r="AM59" s="312">
        <f>SUM(AM55:AM58)</f>
        <v>0</v>
      </c>
      <c r="AN59" s="1227"/>
      <c r="AO59" s="1591"/>
      <c r="AP59" s="1592"/>
      <c r="AQ59" s="1592"/>
      <c r="AR59" s="1592"/>
      <c r="AS59" s="1592"/>
      <c r="AT59" s="1592"/>
      <c r="AU59" s="1593"/>
      <c r="AV59" s="312">
        <f>SUM(AV55:AV58)</f>
        <v>0</v>
      </c>
    </row>
    <row r="60" spans="1:48" ht="7.5" customHeight="1" thickBot="1">
      <c r="A60" s="1316"/>
      <c r="B60" s="1316"/>
      <c r="C60" s="1317"/>
      <c r="D60" s="343"/>
      <c r="E60" s="1235"/>
      <c r="F60" s="1236"/>
      <c r="G60" s="1236"/>
      <c r="H60" s="1236"/>
      <c r="I60" s="1236"/>
      <c r="J60" s="1236"/>
      <c r="K60" s="1236"/>
      <c r="L60" s="1236"/>
      <c r="M60" s="1299"/>
      <c r="N60" s="1235"/>
      <c r="O60" s="1236"/>
      <c r="P60" s="1236"/>
      <c r="Q60" s="1236"/>
      <c r="R60" s="1236"/>
      <c r="S60" s="1236"/>
      <c r="T60" s="1236"/>
      <c r="U60" s="1236"/>
      <c r="V60" s="1227"/>
      <c r="W60" s="1235"/>
      <c r="X60" s="1236"/>
      <c r="Y60" s="1236"/>
      <c r="Z60" s="1236"/>
      <c r="AA60" s="1236"/>
      <c r="AB60" s="1236"/>
      <c r="AC60" s="1236"/>
      <c r="AD60" s="1236"/>
      <c r="AE60" s="1227"/>
      <c r="AF60" s="1235"/>
      <c r="AG60" s="1236"/>
      <c r="AH60" s="1236"/>
      <c r="AI60" s="1236"/>
      <c r="AJ60" s="1236"/>
      <c r="AK60" s="1236"/>
      <c r="AL60" s="1236"/>
      <c r="AM60" s="1236"/>
      <c r="AN60" s="1227"/>
      <c r="AO60" s="1235"/>
      <c r="AP60" s="1236"/>
      <c r="AQ60" s="1236"/>
      <c r="AR60" s="1236"/>
      <c r="AS60" s="1236"/>
      <c r="AT60" s="1236"/>
      <c r="AU60" s="1236"/>
      <c r="AV60" s="1236"/>
    </row>
    <row r="61" spans="1:48" ht="15" customHeight="1">
      <c r="A61" s="1307" t="s">
        <v>202</v>
      </c>
      <c r="B61" s="1307"/>
      <c r="C61" s="1308"/>
      <c r="D61" s="331"/>
      <c r="E61" s="1243" t="s">
        <v>271</v>
      </c>
      <c r="F61" s="1244"/>
      <c r="G61" s="1244" t="s">
        <v>191</v>
      </c>
      <c r="H61" s="1244"/>
      <c r="I61" s="1244"/>
      <c r="J61" s="1244"/>
      <c r="K61" s="1244"/>
      <c r="L61" s="1245"/>
      <c r="M61" s="1299"/>
      <c r="N61" s="1243" t="s">
        <v>271</v>
      </c>
      <c r="O61" s="1244"/>
      <c r="P61" s="1244" t="s">
        <v>191</v>
      </c>
      <c r="Q61" s="1244"/>
      <c r="R61" s="1244"/>
      <c r="S61" s="1244"/>
      <c r="T61" s="1244"/>
      <c r="U61" s="1245"/>
      <c r="V61" s="1227"/>
      <c r="W61" s="1243" t="s">
        <v>271</v>
      </c>
      <c r="X61" s="1244"/>
      <c r="Y61" s="1244" t="s">
        <v>191</v>
      </c>
      <c r="Z61" s="1244"/>
      <c r="AA61" s="1244"/>
      <c r="AB61" s="1244"/>
      <c r="AC61" s="1244"/>
      <c r="AD61" s="1245"/>
      <c r="AE61" s="1227"/>
      <c r="AF61" s="1243" t="s">
        <v>271</v>
      </c>
      <c r="AG61" s="1244"/>
      <c r="AH61" s="1244" t="s">
        <v>191</v>
      </c>
      <c r="AI61" s="1244"/>
      <c r="AJ61" s="1244"/>
      <c r="AK61" s="1244"/>
      <c r="AL61" s="1244"/>
      <c r="AM61" s="1245"/>
      <c r="AN61" s="1227"/>
      <c r="AO61" s="1243" t="s">
        <v>271</v>
      </c>
      <c r="AP61" s="1244"/>
      <c r="AQ61" s="1244" t="s">
        <v>191</v>
      </c>
      <c r="AR61" s="1244"/>
      <c r="AS61" s="1244"/>
      <c r="AT61" s="1244"/>
      <c r="AU61" s="1244"/>
      <c r="AV61" s="1245"/>
    </row>
    <row r="62" spans="1:48">
      <c r="A62" s="1312" t="s">
        <v>279</v>
      </c>
      <c r="B62" s="1312"/>
      <c r="C62" s="1313"/>
      <c r="D62" s="331"/>
      <c r="E62" s="1249"/>
      <c r="F62" s="1250"/>
      <c r="G62" s="1587"/>
      <c r="H62" s="1587"/>
      <c r="I62" s="1587"/>
      <c r="J62" s="1587"/>
      <c r="K62" s="515">
        <f>MIN(L62,25000)</f>
        <v>0</v>
      </c>
      <c r="L62" s="143">
        <v>0</v>
      </c>
      <c r="M62" s="1299"/>
      <c r="N62" s="1249"/>
      <c r="O62" s="1250"/>
      <c r="P62" s="1587"/>
      <c r="Q62" s="1587"/>
      <c r="R62" s="1587"/>
      <c r="S62" s="1587"/>
      <c r="T62" s="515">
        <f>IF(L62+U62&gt;=25000,MAX(25000-(L62),0), U62)</f>
        <v>0</v>
      </c>
      <c r="U62" s="143">
        <v>0</v>
      </c>
      <c r="V62" s="1227"/>
      <c r="W62" s="1249"/>
      <c r="X62" s="1250"/>
      <c r="Y62" s="1587"/>
      <c r="Z62" s="1587"/>
      <c r="AA62" s="1587"/>
      <c r="AB62" s="1587"/>
      <c r="AC62" s="515">
        <f>IF(U62+AD62+L62&gt;=25000,MAX(25000-(U62+L62),0), AD62)</f>
        <v>0</v>
      </c>
      <c r="AD62" s="143">
        <v>0</v>
      </c>
      <c r="AE62" s="1227"/>
      <c r="AF62" s="1249"/>
      <c r="AG62" s="1250"/>
      <c r="AH62" s="1587"/>
      <c r="AI62" s="1587"/>
      <c r="AJ62" s="1587"/>
      <c r="AK62" s="1587"/>
      <c r="AL62" s="515">
        <f>IF(AD62+AM62+U62+L62&gt;=25000,MAX(25000-(AD62+U62+L62),0), AM62)</f>
        <v>0</v>
      </c>
      <c r="AM62" s="143">
        <v>0</v>
      </c>
      <c r="AN62" s="1227"/>
      <c r="AO62" s="1249"/>
      <c r="AP62" s="1250"/>
      <c r="AQ62" s="1587"/>
      <c r="AR62" s="1587"/>
      <c r="AS62" s="1587"/>
      <c r="AT62" s="1587"/>
      <c r="AU62" s="515">
        <f>IF(AM62+AV62+AD62+U62++L62&gt;=25000,MAX(25000-(AM62+AD62+U62+L62),0), AV62)</f>
        <v>0</v>
      </c>
      <c r="AV62" s="143">
        <v>0</v>
      </c>
    </row>
    <row r="63" spans="1:48">
      <c r="A63" s="1314" t="s">
        <v>279</v>
      </c>
      <c r="B63" s="1314"/>
      <c r="C63" s="1315"/>
      <c r="D63" s="331"/>
      <c r="E63" s="1214"/>
      <c r="F63" s="1215"/>
      <c r="G63" s="1533"/>
      <c r="H63" s="1533"/>
      <c r="I63" s="1533"/>
      <c r="J63" s="1533"/>
      <c r="K63" s="515">
        <f t="shared" ref="K63:K65" si="22">MIN(L63,25000)</f>
        <v>0</v>
      </c>
      <c r="L63" s="145">
        <v>0</v>
      </c>
      <c r="M63" s="1299"/>
      <c r="N63" s="1214"/>
      <c r="O63" s="1215"/>
      <c r="P63" s="1533"/>
      <c r="Q63" s="1533"/>
      <c r="R63" s="1533"/>
      <c r="S63" s="1533"/>
      <c r="T63" s="515">
        <f t="shared" ref="T63:T65" si="23">IF(L63+U63&gt;=25000,MAX(25000-(L63),0), U63)</f>
        <v>0</v>
      </c>
      <c r="U63" s="145">
        <v>0</v>
      </c>
      <c r="V63" s="1227"/>
      <c r="W63" s="1214"/>
      <c r="X63" s="1215"/>
      <c r="Y63" s="1533"/>
      <c r="Z63" s="1533"/>
      <c r="AA63" s="1533"/>
      <c r="AB63" s="1533"/>
      <c r="AC63" s="515">
        <f t="shared" ref="AC63:AC65" si="24">IF(U63+AD63+L63&gt;=25000,MAX(25000-(U63+L63),0), AD63)</f>
        <v>0</v>
      </c>
      <c r="AD63" s="145">
        <v>0</v>
      </c>
      <c r="AE63" s="1227"/>
      <c r="AF63" s="1214"/>
      <c r="AG63" s="1215"/>
      <c r="AH63" s="1533"/>
      <c r="AI63" s="1533"/>
      <c r="AJ63" s="1533"/>
      <c r="AK63" s="1533"/>
      <c r="AL63" s="515">
        <f t="shared" ref="AL63:AL65" si="25">IF(AD63+AM63+U63+L63&gt;=25000,MAX(25000-(AD63+U63+L63),0), AM63)</f>
        <v>0</v>
      </c>
      <c r="AM63" s="145">
        <v>0</v>
      </c>
      <c r="AN63" s="1227"/>
      <c r="AO63" s="1214"/>
      <c r="AP63" s="1215"/>
      <c r="AQ63" s="1533"/>
      <c r="AR63" s="1533"/>
      <c r="AS63" s="1533"/>
      <c r="AT63" s="1533"/>
      <c r="AU63" s="515">
        <f t="shared" ref="AU63:AU65" si="26">IF(AM63+AV63+AD63+U63++L63&gt;=25000,MAX(25000-(AM63+AD63+U63+L63),0), AV63)</f>
        <v>0</v>
      </c>
      <c r="AV63" s="145">
        <v>0</v>
      </c>
    </row>
    <row r="64" spans="1:48">
      <c r="A64" s="1314" t="s">
        <v>279</v>
      </c>
      <c r="B64" s="1314"/>
      <c r="C64" s="1315"/>
      <c r="D64" s="331"/>
      <c r="E64" s="1214"/>
      <c r="F64" s="1215"/>
      <c r="G64" s="1533"/>
      <c r="H64" s="1533"/>
      <c r="I64" s="1533"/>
      <c r="J64" s="1533"/>
      <c r="K64" s="515">
        <f t="shared" si="22"/>
        <v>0</v>
      </c>
      <c r="L64" s="144">
        <v>0</v>
      </c>
      <c r="M64" s="1299"/>
      <c r="N64" s="1214"/>
      <c r="O64" s="1215"/>
      <c r="P64" s="1533"/>
      <c r="Q64" s="1533"/>
      <c r="R64" s="1533"/>
      <c r="S64" s="1533"/>
      <c r="T64" s="515">
        <f t="shared" si="23"/>
        <v>0</v>
      </c>
      <c r="U64" s="144">
        <v>0</v>
      </c>
      <c r="V64" s="1227"/>
      <c r="W64" s="1214"/>
      <c r="X64" s="1215"/>
      <c r="Y64" s="1533"/>
      <c r="Z64" s="1533"/>
      <c r="AA64" s="1533"/>
      <c r="AB64" s="1533"/>
      <c r="AC64" s="515">
        <f t="shared" si="24"/>
        <v>0</v>
      </c>
      <c r="AD64" s="144">
        <v>0</v>
      </c>
      <c r="AE64" s="1227"/>
      <c r="AF64" s="1214"/>
      <c r="AG64" s="1215"/>
      <c r="AH64" s="1533"/>
      <c r="AI64" s="1533"/>
      <c r="AJ64" s="1533"/>
      <c r="AK64" s="1533"/>
      <c r="AL64" s="515">
        <f t="shared" si="25"/>
        <v>0</v>
      </c>
      <c r="AM64" s="144">
        <v>0</v>
      </c>
      <c r="AN64" s="1227"/>
      <c r="AO64" s="1214"/>
      <c r="AP64" s="1215"/>
      <c r="AQ64" s="1533"/>
      <c r="AR64" s="1533"/>
      <c r="AS64" s="1533"/>
      <c r="AT64" s="1533"/>
      <c r="AU64" s="515">
        <f t="shared" si="26"/>
        <v>0</v>
      </c>
      <c r="AV64" s="144">
        <v>0</v>
      </c>
    </row>
    <row r="65" spans="1:48" ht="15.75" customHeight="1" thickBot="1">
      <c r="A65" s="1319" t="s">
        <v>279</v>
      </c>
      <c r="B65" s="1319"/>
      <c r="C65" s="1320"/>
      <c r="D65" s="331"/>
      <c r="E65" s="1251"/>
      <c r="F65" s="1252"/>
      <c r="G65" s="1589"/>
      <c r="H65" s="1589"/>
      <c r="I65" s="1589"/>
      <c r="J65" s="1589"/>
      <c r="K65" s="515">
        <f t="shared" si="22"/>
        <v>0</v>
      </c>
      <c r="L65" s="145">
        <v>0</v>
      </c>
      <c r="M65" s="1299"/>
      <c r="N65" s="1251"/>
      <c r="O65" s="1252"/>
      <c r="P65" s="1589"/>
      <c r="Q65" s="1589"/>
      <c r="R65" s="1589"/>
      <c r="S65" s="1589"/>
      <c r="T65" s="515">
        <f t="shared" si="23"/>
        <v>0</v>
      </c>
      <c r="U65" s="145">
        <v>0</v>
      </c>
      <c r="V65" s="1227"/>
      <c r="W65" s="1251"/>
      <c r="X65" s="1252"/>
      <c r="Y65" s="1589"/>
      <c r="Z65" s="1589"/>
      <c r="AA65" s="1589"/>
      <c r="AB65" s="1589"/>
      <c r="AC65" s="515">
        <f t="shared" si="24"/>
        <v>0</v>
      </c>
      <c r="AD65" s="145">
        <v>0</v>
      </c>
      <c r="AE65" s="1227"/>
      <c r="AF65" s="1251"/>
      <c r="AG65" s="1252"/>
      <c r="AH65" s="1589"/>
      <c r="AI65" s="1589"/>
      <c r="AJ65" s="1589"/>
      <c r="AK65" s="1589"/>
      <c r="AL65" s="515">
        <f t="shared" si="25"/>
        <v>0</v>
      </c>
      <c r="AM65" s="145">
        <v>0</v>
      </c>
      <c r="AN65" s="1227"/>
      <c r="AO65" s="1251"/>
      <c r="AP65" s="1252"/>
      <c r="AQ65" s="1589"/>
      <c r="AR65" s="1589"/>
      <c r="AS65" s="1589"/>
      <c r="AT65" s="1589"/>
      <c r="AU65" s="515">
        <f t="shared" si="26"/>
        <v>0</v>
      </c>
      <c r="AV65" s="145">
        <v>0</v>
      </c>
    </row>
    <row r="66" spans="1:48" ht="15" customHeight="1" thickBot="1">
      <c r="A66" s="1309" t="s">
        <v>280</v>
      </c>
      <c r="B66" s="1310"/>
      <c r="C66" s="1311"/>
      <c r="D66" s="331"/>
      <c r="E66" s="1591"/>
      <c r="F66" s="1592"/>
      <c r="G66" s="1592"/>
      <c r="H66" s="1592"/>
      <c r="I66" s="1592"/>
      <c r="J66" s="1600"/>
      <c r="K66" s="524">
        <f>SUM(K62:K65)</f>
        <v>0</v>
      </c>
      <c r="L66" s="312">
        <f>SUM(L62:L65)</f>
        <v>0</v>
      </c>
      <c r="M66" s="1299"/>
      <c r="N66" s="1591"/>
      <c r="O66" s="1592"/>
      <c r="P66" s="1592"/>
      <c r="Q66" s="1592"/>
      <c r="R66" s="1592"/>
      <c r="S66" s="1600"/>
      <c r="T66" s="524">
        <f>SUM(T62:T65)</f>
        <v>0</v>
      </c>
      <c r="U66" s="312">
        <f>SUM(U62:U65)</f>
        <v>0</v>
      </c>
      <c r="V66" s="1227"/>
      <c r="W66" s="1591"/>
      <c r="X66" s="1592"/>
      <c r="Y66" s="1592"/>
      <c r="Z66" s="1592"/>
      <c r="AA66" s="1592"/>
      <c r="AB66" s="1600"/>
      <c r="AC66" s="524">
        <f>SUM(AC62:AC65)</f>
        <v>0</v>
      </c>
      <c r="AD66" s="312">
        <f>SUM(AD62:AD65)</f>
        <v>0</v>
      </c>
      <c r="AE66" s="1227"/>
      <c r="AF66" s="1591"/>
      <c r="AG66" s="1592"/>
      <c r="AH66" s="1592"/>
      <c r="AI66" s="1592"/>
      <c r="AJ66" s="1592"/>
      <c r="AK66" s="1600"/>
      <c r="AL66" s="524">
        <f>SUM(AL62:AL65)</f>
        <v>0</v>
      </c>
      <c r="AM66" s="312">
        <f>SUM(AM62:AM65)</f>
        <v>0</v>
      </c>
      <c r="AN66" s="1227"/>
      <c r="AO66" s="1591"/>
      <c r="AP66" s="1592"/>
      <c r="AQ66" s="1592"/>
      <c r="AR66" s="1592"/>
      <c r="AS66" s="1592"/>
      <c r="AT66" s="1600"/>
      <c r="AU66" s="524">
        <f>SUM(AU62:AU65)</f>
        <v>0</v>
      </c>
      <c r="AV66" s="312">
        <f>SUM(AV62:AV65)</f>
        <v>0</v>
      </c>
    </row>
    <row r="67" spans="1:48" ht="7.5" customHeight="1" thickBot="1">
      <c r="A67" s="1316"/>
      <c r="B67" s="1316"/>
      <c r="C67" s="1317"/>
      <c r="D67" s="343"/>
      <c r="E67" s="1235"/>
      <c r="F67" s="1236"/>
      <c r="G67" s="1236"/>
      <c r="H67" s="1236"/>
      <c r="I67" s="1236"/>
      <c r="J67" s="1236"/>
      <c r="K67" s="1236"/>
      <c r="L67" s="1236"/>
      <c r="M67" s="1299"/>
      <c r="N67" s="1235"/>
      <c r="O67" s="1236"/>
      <c r="P67" s="1236"/>
      <c r="Q67" s="1236"/>
      <c r="R67" s="1236"/>
      <c r="S67" s="1236"/>
      <c r="T67" s="1236"/>
      <c r="U67" s="1236"/>
      <c r="V67" s="1227"/>
      <c r="W67" s="1235"/>
      <c r="X67" s="1236"/>
      <c r="Y67" s="1236"/>
      <c r="Z67" s="1236"/>
      <c r="AA67" s="1236"/>
      <c r="AB67" s="1236"/>
      <c r="AC67" s="1236"/>
      <c r="AD67" s="1236"/>
      <c r="AE67" s="1227"/>
      <c r="AF67" s="1235"/>
      <c r="AG67" s="1236"/>
      <c r="AH67" s="1236"/>
      <c r="AI67" s="1236"/>
      <c r="AJ67" s="1236"/>
      <c r="AK67" s="1236"/>
      <c r="AL67" s="1236"/>
      <c r="AM67" s="1236"/>
      <c r="AN67" s="1227"/>
      <c r="AO67" s="1235"/>
      <c r="AP67" s="1236"/>
      <c r="AQ67" s="1236"/>
      <c r="AR67" s="1236"/>
      <c r="AS67" s="1236"/>
      <c r="AT67" s="1236"/>
      <c r="AU67" s="1236"/>
      <c r="AV67" s="1236"/>
    </row>
    <row r="68" spans="1:48" ht="15" customHeight="1">
      <c r="A68" s="1332" t="s">
        <v>281</v>
      </c>
      <c r="B68" s="1332"/>
      <c r="C68" s="1333"/>
      <c r="D68" s="331"/>
      <c r="E68" s="1246" t="s">
        <v>271</v>
      </c>
      <c r="F68" s="1239"/>
      <c r="G68" s="1239" t="s">
        <v>191</v>
      </c>
      <c r="H68" s="1239"/>
      <c r="I68" s="1239"/>
      <c r="J68" s="1239"/>
      <c r="K68" s="1239"/>
      <c r="L68" s="1240"/>
      <c r="M68" s="1299"/>
      <c r="N68" s="1237" t="s">
        <v>271</v>
      </c>
      <c r="O68" s="1238"/>
      <c r="P68" s="1238" t="s">
        <v>191</v>
      </c>
      <c r="Q68" s="1238"/>
      <c r="R68" s="1238"/>
      <c r="S68" s="1238"/>
      <c r="T68" s="1238"/>
      <c r="U68" s="1253"/>
      <c r="V68" s="1227"/>
      <c r="W68" s="1237" t="s">
        <v>271</v>
      </c>
      <c r="X68" s="1238"/>
      <c r="Y68" s="1238" t="s">
        <v>191</v>
      </c>
      <c r="Z68" s="1238"/>
      <c r="AA68" s="1238"/>
      <c r="AB68" s="1238"/>
      <c r="AC68" s="1238"/>
      <c r="AD68" s="1253"/>
      <c r="AE68" s="1227"/>
      <c r="AF68" s="1237" t="s">
        <v>271</v>
      </c>
      <c r="AG68" s="1238"/>
      <c r="AH68" s="1238" t="s">
        <v>191</v>
      </c>
      <c r="AI68" s="1238"/>
      <c r="AJ68" s="1238"/>
      <c r="AK68" s="1238"/>
      <c r="AL68" s="1238"/>
      <c r="AM68" s="1253"/>
      <c r="AN68" s="1227"/>
      <c r="AO68" s="1237" t="s">
        <v>271</v>
      </c>
      <c r="AP68" s="1238"/>
      <c r="AQ68" s="1238" t="s">
        <v>191</v>
      </c>
      <c r="AR68" s="1238"/>
      <c r="AS68" s="1238"/>
      <c r="AT68" s="1238"/>
      <c r="AU68" s="1238"/>
      <c r="AV68" s="1253"/>
    </row>
    <row r="69" spans="1:48" ht="15" customHeight="1">
      <c r="A69" s="1312" t="s">
        <v>208</v>
      </c>
      <c r="B69" s="1312"/>
      <c r="C69" s="1313"/>
      <c r="D69" s="331"/>
      <c r="E69" s="1254"/>
      <c r="F69" s="1255"/>
      <c r="G69" s="1594"/>
      <c r="H69" s="1594"/>
      <c r="I69" s="1594"/>
      <c r="J69" s="1594"/>
      <c r="K69" s="1595"/>
      <c r="L69" s="143">
        <v>0</v>
      </c>
      <c r="M69" s="1299"/>
      <c r="N69" s="1254"/>
      <c r="O69" s="1255"/>
      <c r="P69" s="1594"/>
      <c r="Q69" s="1594"/>
      <c r="R69" s="1594"/>
      <c r="S69" s="1594"/>
      <c r="T69" s="1595"/>
      <c r="U69" s="143">
        <v>0</v>
      </c>
      <c r="V69" s="1227"/>
      <c r="W69" s="1254"/>
      <c r="X69" s="1255"/>
      <c r="Y69" s="1594"/>
      <c r="Z69" s="1594"/>
      <c r="AA69" s="1594"/>
      <c r="AB69" s="1594"/>
      <c r="AC69" s="1595"/>
      <c r="AD69" s="143">
        <v>0</v>
      </c>
      <c r="AE69" s="1227"/>
      <c r="AF69" s="1254"/>
      <c r="AG69" s="1255"/>
      <c r="AH69" s="1594"/>
      <c r="AI69" s="1594"/>
      <c r="AJ69" s="1594"/>
      <c r="AK69" s="1594"/>
      <c r="AL69" s="1595"/>
      <c r="AM69" s="143">
        <v>0</v>
      </c>
      <c r="AN69" s="1227"/>
      <c r="AO69" s="1254"/>
      <c r="AP69" s="1255"/>
      <c r="AQ69" s="1594"/>
      <c r="AR69" s="1594"/>
      <c r="AS69" s="1594"/>
      <c r="AT69" s="1594"/>
      <c r="AU69" s="1595"/>
      <c r="AV69" s="143">
        <v>0</v>
      </c>
    </row>
    <row r="70" spans="1:48" ht="15.75" customHeight="1" thickBot="1">
      <c r="A70" s="1319" t="s">
        <v>210</v>
      </c>
      <c r="B70" s="1319"/>
      <c r="C70" s="1320"/>
      <c r="D70" s="331"/>
      <c r="E70" s="1241"/>
      <c r="F70" s="1242"/>
      <c r="G70" s="1598"/>
      <c r="H70" s="1598"/>
      <c r="I70" s="1598"/>
      <c r="J70" s="1598"/>
      <c r="K70" s="1599"/>
      <c r="L70" s="144">
        <v>0</v>
      </c>
      <c r="M70" s="1299"/>
      <c r="N70" s="1241"/>
      <c r="O70" s="1242"/>
      <c r="P70" s="1598"/>
      <c r="Q70" s="1598"/>
      <c r="R70" s="1598"/>
      <c r="S70" s="1598"/>
      <c r="T70" s="1599"/>
      <c r="U70" s="144">
        <v>0</v>
      </c>
      <c r="V70" s="1227"/>
      <c r="W70" s="1241"/>
      <c r="X70" s="1242"/>
      <c r="Y70" s="1598"/>
      <c r="Z70" s="1598"/>
      <c r="AA70" s="1598"/>
      <c r="AB70" s="1598"/>
      <c r="AC70" s="1599"/>
      <c r="AD70" s="144">
        <v>0</v>
      </c>
      <c r="AE70" s="1227"/>
      <c r="AF70" s="1241"/>
      <c r="AG70" s="1242"/>
      <c r="AH70" s="1598"/>
      <c r="AI70" s="1598"/>
      <c r="AJ70" s="1598"/>
      <c r="AK70" s="1598"/>
      <c r="AL70" s="1599"/>
      <c r="AM70" s="144">
        <v>0</v>
      </c>
      <c r="AN70" s="1227"/>
      <c r="AO70" s="1241"/>
      <c r="AP70" s="1242"/>
      <c r="AQ70" s="1598"/>
      <c r="AR70" s="1598"/>
      <c r="AS70" s="1598"/>
      <c r="AT70" s="1598"/>
      <c r="AU70" s="1599"/>
      <c r="AV70" s="144">
        <v>0</v>
      </c>
    </row>
    <row r="71" spans="1:48" ht="15.75" customHeight="1" thickBot="1">
      <c r="A71" s="1309" t="s">
        <v>211</v>
      </c>
      <c r="B71" s="1310"/>
      <c r="C71" s="1311"/>
      <c r="D71" s="331"/>
      <c r="E71" s="1353"/>
      <c r="F71" s="1354"/>
      <c r="G71" s="1354"/>
      <c r="H71" s="1354"/>
      <c r="I71" s="1354"/>
      <c r="J71" s="1354"/>
      <c r="K71" s="1355"/>
      <c r="L71" s="312">
        <f>SUM(L69:L70)</f>
        <v>0</v>
      </c>
      <c r="M71" s="1299"/>
      <c r="N71" s="1353"/>
      <c r="O71" s="1354"/>
      <c r="P71" s="1354"/>
      <c r="Q71" s="1354"/>
      <c r="R71" s="1354"/>
      <c r="S71" s="1354"/>
      <c r="T71" s="1355"/>
      <c r="U71" s="312">
        <f>SUM(U69:U70)</f>
        <v>0</v>
      </c>
      <c r="V71" s="1227"/>
      <c r="W71" s="1353"/>
      <c r="X71" s="1354"/>
      <c r="Y71" s="1354"/>
      <c r="Z71" s="1354"/>
      <c r="AA71" s="1354"/>
      <c r="AB71" s="1354"/>
      <c r="AC71" s="1355"/>
      <c r="AD71" s="312">
        <f>SUM(AD69:AD70)</f>
        <v>0</v>
      </c>
      <c r="AE71" s="1227"/>
      <c r="AF71" s="1353"/>
      <c r="AG71" s="1354"/>
      <c r="AH71" s="1354"/>
      <c r="AI71" s="1354"/>
      <c r="AJ71" s="1354"/>
      <c r="AK71" s="1354"/>
      <c r="AL71" s="1355"/>
      <c r="AM71" s="312">
        <f>SUM(AM69:AM70)</f>
        <v>0</v>
      </c>
      <c r="AN71" s="1227"/>
      <c r="AO71" s="1353"/>
      <c r="AP71" s="1354"/>
      <c r="AQ71" s="1354"/>
      <c r="AR71" s="1354"/>
      <c r="AS71" s="1354"/>
      <c r="AT71" s="1354"/>
      <c r="AU71" s="1355"/>
      <c r="AV71" s="312">
        <f>SUM(AV69:AV70)</f>
        <v>0</v>
      </c>
    </row>
    <row r="72" spans="1:48" ht="7.5" customHeight="1" thickBot="1">
      <c r="A72" s="1316"/>
      <c r="B72" s="1316"/>
      <c r="C72" s="1317"/>
      <c r="D72" s="331"/>
      <c r="E72" s="1235"/>
      <c r="F72" s="1236"/>
      <c r="G72" s="1236"/>
      <c r="H72" s="1236"/>
      <c r="I72" s="1236"/>
      <c r="J72" s="1236"/>
      <c r="K72" s="1236"/>
      <c r="L72" s="1236"/>
      <c r="M72" s="1299"/>
      <c r="N72" s="1235"/>
      <c r="O72" s="1236"/>
      <c r="P72" s="1236"/>
      <c r="Q72" s="1236"/>
      <c r="R72" s="1236"/>
      <c r="S72" s="1236"/>
      <c r="T72" s="1236"/>
      <c r="U72" s="1236"/>
      <c r="V72" s="1227"/>
      <c r="W72" s="1235"/>
      <c r="X72" s="1236"/>
      <c r="Y72" s="1236"/>
      <c r="Z72" s="1236"/>
      <c r="AA72" s="1236"/>
      <c r="AB72" s="1236"/>
      <c r="AC72" s="1236"/>
      <c r="AD72" s="1236"/>
      <c r="AE72" s="1227"/>
      <c r="AF72" s="1235"/>
      <c r="AG72" s="1236"/>
      <c r="AH72" s="1236"/>
      <c r="AI72" s="1236"/>
      <c r="AJ72" s="1236"/>
      <c r="AK72" s="1236"/>
      <c r="AL72" s="1236"/>
      <c r="AM72" s="1236"/>
      <c r="AN72" s="1227"/>
      <c r="AO72" s="1235"/>
      <c r="AP72" s="1236"/>
      <c r="AQ72" s="1236"/>
      <c r="AR72" s="1236"/>
      <c r="AS72" s="1236"/>
      <c r="AT72" s="1236"/>
      <c r="AU72" s="1236"/>
      <c r="AV72" s="1236"/>
    </row>
    <row r="73" spans="1:48" ht="15" customHeight="1">
      <c r="A73" s="1307" t="s">
        <v>180</v>
      </c>
      <c r="B73" s="1307"/>
      <c r="C73" s="1308"/>
      <c r="D73" s="331"/>
      <c r="E73" s="1243" t="s">
        <v>271</v>
      </c>
      <c r="F73" s="1244"/>
      <c r="G73" s="1244" t="s">
        <v>191</v>
      </c>
      <c r="H73" s="1244"/>
      <c r="I73" s="1244"/>
      <c r="J73" s="1244"/>
      <c r="K73" s="1244"/>
      <c r="L73" s="1245"/>
      <c r="M73" s="1299"/>
      <c r="N73" s="1243" t="s">
        <v>271</v>
      </c>
      <c r="O73" s="1244"/>
      <c r="P73" s="1244" t="s">
        <v>191</v>
      </c>
      <c r="Q73" s="1244"/>
      <c r="R73" s="1244"/>
      <c r="S73" s="1244"/>
      <c r="T73" s="1244"/>
      <c r="U73" s="1245"/>
      <c r="V73" s="1227"/>
      <c r="W73" s="1243" t="s">
        <v>271</v>
      </c>
      <c r="X73" s="1244"/>
      <c r="Y73" s="1244" t="s">
        <v>191</v>
      </c>
      <c r="Z73" s="1244"/>
      <c r="AA73" s="1244"/>
      <c r="AB73" s="1244"/>
      <c r="AC73" s="1244"/>
      <c r="AD73" s="1245"/>
      <c r="AE73" s="1227"/>
      <c r="AF73" s="1243" t="s">
        <v>271</v>
      </c>
      <c r="AG73" s="1244"/>
      <c r="AH73" s="1244" t="s">
        <v>191</v>
      </c>
      <c r="AI73" s="1244"/>
      <c r="AJ73" s="1244"/>
      <c r="AK73" s="1244"/>
      <c r="AL73" s="1244"/>
      <c r="AM73" s="1245"/>
      <c r="AN73" s="1227"/>
      <c r="AO73" s="1243" t="s">
        <v>271</v>
      </c>
      <c r="AP73" s="1244"/>
      <c r="AQ73" s="1244" t="s">
        <v>191</v>
      </c>
      <c r="AR73" s="1244"/>
      <c r="AS73" s="1244"/>
      <c r="AT73" s="1244"/>
      <c r="AU73" s="1244"/>
      <c r="AV73" s="1245"/>
    </row>
    <row r="74" spans="1:48" ht="15" customHeight="1">
      <c r="A74" s="1224" t="s">
        <v>282</v>
      </c>
      <c r="B74" s="1224"/>
      <c r="C74" s="1225"/>
      <c r="D74" s="331"/>
      <c r="E74" s="1214"/>
      <c r="F74" s="1215"/>
      <c r="G74" s="1533"/>
      <c r="H74" s="1533"/>
      <c r="I74" s="1533"/>
      <c r="J74" s="1533"/>
      <c r="K74" s="1534"/>
      <c r="L74" s="664">
        <v>0</v>
      </c>
      <c r="M74" s="1299"/>
      <c r="N74" s="1214"/>
      <c r="O74" s="1215"/>
      <c r="P74" s="1533"/>
      <c r="Q74" s="1533"/>
      <c r="R74" s="1533"/>
      <c r="S74" s="1533"/>
      <c r="T74" s="1534"/>
      <c r="U74" s="664">
        <v>0</v>
      </c>
      <c r="V74" s="1227"/>
      <c r="W74" s="1214"/>
      <c r="X74" s="1215"/>
      <c r="Y74" s="1533"/>
      <c r="Z74" s="1533"/>
      <c r="AA74" s="1533"/>
      <c r="AB74" s="1533"/>
      <c r="AC74" s="1534"/>
      <c r="AD74" s="664">
        <v>0</v>
      </c>
      <c r="AE74" s="1227"/>
      <c r="AF74" s="1214"/>
      <c r="AG74" s="1215"/>
      <c r="AH74" s="1533"/>
      <c r="AI74" s="1533"/>
      <c r="AJ74" s="1533"/>
      <c r="AK74" s="1533"/>
      <c r="AL74" s="1534"/>
      <c r="AM74" s="664">
        <v>0</v>
      </c>
      <c r="AN74" s="1227"/>
      <c r="AO74" s="1214"/>
      <c r="AP74" s="1215"/>
      <c r="AQ74" s="1533"/>
      <c r="AR74" s="1533"/>
      <c r="AS74" s="1533"/>
      <c r="AT74" s="1533"/>
      <c r="AU74" s="1534"/>
      <c r="AV74" s="664">
        <v>0</v>
      </c>
    </row>
    <row r="75" spans="1:48" ht="15" customHeight="1">
      <c r="A75" s="1216" t="s">
        <v>283</v>
      </c>
      <c r="B75" s="1216"/>
      <c r="C75" s="1217"/>
      <c r="D75" s="331"/>
      <c r="E75" s="1214"/>
      <c r="F75" s="1215"/>
      <c r="G75" s="1533"/>
      <c r="H75" s="1533"/>
      <c r="I75" s="1533"/>
      <c r="J75" s="1533"/>
      <c r="K75" s="1534"/>
      <c r="L75" s="664">
        <v>0</v>
      </c>
      <c r="M75" s="1299"/>
      <c r="N75" s="1214"/>
      <c r="O75" s="1215"/>
      <c r="P75" s="1533"/>
      <c r="Q75" s="1533"/>
      <c r="R75" s="1533"/>
      <c r="S75" s="1533"/>
      <c r="T75" s="1534"/>
      <c r="U75" s="664">
        <v>0</v>
      </c>
      <c r="V75" s="1227"/>
      <c r="W75" s="1214"/>
      <c r="X75" s="1215"/>
      <c r="Y75" s="1533"/>
      <c r="Z75" s="1533"/>
      <c r="AA75" s="1533"/>
      <c r="AB75" s="1533"/>
      <c r="AC75" s="1534"/>
      <c r="AD75" s="664">
        <v>0</v>
      </c>
      <c r="AE75" s="1227"/>
      <c r="AF75" s="1214"/>
      <c r="AG75" s="1215"/>
      <c r="AH75" s="1533"/>
      <c r="AI75" s="1533"/>
      <c r="AJ75" s="1533"/>
      <c r="AK75" s="1533"/>
      <c r="AL75" s="1534"/>
      <c r="AM75" s="664">
        <v>0</v>
      </c>
      <c r="AN75" s="1227"/>
      <c r="AO75" s="1214"/>
      <c r="AP75" s="1215"/>
      <c r="AQ75" s="1533"/>
      <c r="AR75" s="1533"/>
      <c r="AS75" s="1533"/>
      <c r="AT75" s="1533"/>
      <c r="AU75" s="1534"/>
      <c r="AV75" s="664">
        <v>0</v>
      </c>
    </row>
    <row r="76" spans="1:48" ht="15" customHeight="1">
      <c r="A76" s="1216" t="s">
        <v>284</v>
      </c>
      <c r="B76" s="1216"/>
      <c r="C76" s="1217"/>
      <c r="D76" s="331"/>
      <c r="E76" s="1214"/>
      <c r="F76" s="1215"/>
      <c r="G76" s="1533"/>
      <c r="H76" s="1533"/>
      <c r="I76" s="1533"/>
      <c r="J76" s="1533"/>
      <c r="K76" s="1534"/>
      <c r="L76" s="664">
        <v>0</v>
      </c>
      <c r="M76" s="1299"/>
      <c r="N76" s="1214"/>
      <c r="O76" s="1215"/>
      <c r="P76" s="1533"/>
      <c r="Q76" s="1533"/>
      <c r="R76" s="1533"/>
      <c r="S76" s="1533"/>
      <c r="T76" s="1534"/>
      <c r="U76" s="664">
        <v>0</v>
      </c>
      <c r="V76" s="1227"/>
      <c r="W76" s="1214"/>
      <c r="X76" s="1215"/>
      <c r="Y76" s="1533"/>
      <c r="Z76" s="1533"/>
      <c r="AA76" s="1533"/>
      <c r="AB76" s="1533"/>
      <c r="AC76" s="1534"/>
      <c r="AD76" s="664">
        <v>0</v>
      </c>
      <c r="AE76" s="1227"/>
      <c r="AF76" s="1214"/>
      <c r="AG76" s="1215"/>
      <c r="AH76" s="1533"/>
      <c r="AI76" s="1533"/>
      <c r="AJ76" s="1533"/>
      <c r="AK76" s="1533"/>
      <c r="AL76" s="1534"/>
      <c r="AM76" s="664">
        <v>0</v>
      </c>
      <c r="AN76" s="1227"/>
      <c r="AO76" s="1214"/>
      <c r="AP76" s="1215"/>
      <c r="AQ76" s="1533"/>
      <c r="AR76" s="1533"/>
      <c r="AS76" s="1533"/>
      <c r="AT76" s="1533"/>
      <c r="AU76" s="1534"/>
      <c r="AV76" s="664">
        <v>0</v>
      </c>
    </row>
    <row r="77" spans="1:48" ht="15" customHeight="1">
      <c r="A77" s="1216" t="s">
        <v>283</v>
      </c>
      <c r="B77" s="1216"/>
      <c r="C77" s="1217"/>
      <c r="D77" s="331"/>
      <c r="E77" s="1214"/>
      <c r="F77" s="1215"/>
      <c r="G77" s="1533"/>
      <c r="H77" s="1533"/>
      <c r="I77" s="1533"/>
      <c r="J77" s="1533"/>
      <c r="K77" s="1534"/>
      <c r="L77" s="664">
        <v>0</v>
      </c>
      <c r="M77" s="1299"/>
      <c r="N77" s="1214"/>
      <c r="O77" s="1215"/>
      <c r="P77" s="1533"/>
      <c r="Q77" s="1533"/>
      <c r="R77" s="1533"/>
      <c r="S77" s="1533"/>
      <c r="T77" s="1534"/>
      <c r="U77" s="664">
        <v>0</v>
      </c>
      <c r="V77" s="1227"/>
      <c r="W77" s="1214"/>
      <c r="X77" s="1215"/>
      <c r="Y77" s="1533"/>
      <c r="Z77" s="1533"/>
      <c r="AA77" s="1533"/>
      <c r="AB77" s="1533"/>
      <c r="AC77" s="1534"/>
      <c r="AD77" s="664">
        <v>0</v>
      </c>
      <c r="AE77" s="1227"/>
      <c r="AF77" s="1214"/>
      <c r="AG77" s="1215"/>
      <c r="AH77" s="1533"/>
      <c r="AI77" s="1533"/>
      <c r="AJ77" s="1533"/>
      <c r="AK77" s="1533"/>
      <c r="AL77" s="1534"/>
      <c r="AM77" s="664">
        <v>0</v>
      </c>
      <c r="AN77" s="1227"/>
      <c r="AO77" s="1214"/>
      <c r="AP77" s="1215"/>
      <c r="AQ77" s="1533"/>
      <c r="AR77" s="1533"/>
      <c r="AS77" s="1533"/>
      <c r="AT77" s="1533"/>
      <c r="AU77" s="1534"/>
      <c r="AV77" s="664">
        <v>0</v>
      </c>
    </row>
    <row r="78" spans="1:48" ht="15" customHeight="1">
      <c r="A78" s="1216" t="s">
        <v>285</v>
      </c>
      <c r="B78" s="1216"/>
      <c r="C78" s="1217"/>
      <c r="D78" s="331"/>
      <c r="E78" s="1214"/>
      <c r="F78" s="1215"/>
      <c r="G78" s="1533"/>
      <c r="H78" s="1533"/>
      <c r="I78" s="1533"/>
      <c r="J78" s="1533"/>
      <c r="K78" s="1534"/>
      <c r="L78" s="664">
        <v>0</v>
      </c>
      <c r="M78" s="1299"/>
      <c r="N78" s="1214"/>
      <c r="O78" s="1215"/>
      <c r="P78" s="1533"/>
      <c r="Q78" s="1533"/>
      <c r="R78" s="1533"/>
      <c r="S78" s="1533"/>
      <c r="T78" s="1534"/>
      <c r="U78" s="664">
        <v>0</v>
      </c>
      <c r="V78" s="1227"/>
      <c r="W78" s="1214"/>
      <c r="X78" s="1215"/>
      <c r="Y78" s="1533"/>
      <c r="Z78" s="1533"/>
      <c r="AA78" s="1533"/>
      <c r="AB78" s="1533"/>
      <c r="AC78" s="1534"/>
      <c r="AD78" s="664">
        <v>0</v>
      </c>
      <c r="AE78" s="1227"/>
      <c r="AF78" s="1214"/>
      <c r="AG78" s="1215"/>
      <c r="AH78" s="1533"/>
      <c r="AI78" s="1533"/>
      <c r="AJ78" s="1533"/>
      <c r="AK78" s="1533"/>
      <c r="AL78" s="1534"/>
      <c r="AM78" s="664">
        <v>0</v>
      </c>
      <c r="AN78" s="1227"/>
      <c r="AO78" s="1214"/>
      <c r="AP78" s="1215"/>
      <c r="AQ78" s="1533"/>
      <c r="AR78" s="1533"/>
      <c r="AS78" s="1533"/>
      <c r="AT78" s="1533"/>
      <c r="AU78" s="1534"/>
      <c r="AV78" s="664">
        <v>0</v>
      </c>
    </row>
    <row r="79" spans="1:48" ht="15" customHeight="1">
      <c r="A79" s="1216" t="s">
        <v>286</v>
      </c>
      <c r="B79" s="1216"/>
      <c r="C79" s="1217"/>
      <c r="D79" s="331"/>
      <c r="E79" s="1214"/>
      <c r="F79" s="1215"/>
      <c r="G79" s="1533"/>
      <c r="H79" s="1533"/>
      <c r="I79" s="1533"/>
      <c r="J79" s="1533"/>
      <c r="K79" s="1534"/>
      <c r="L79" s="664">
        <v>0</v>
      </c>
      <c r="M79" s="1299"/>
      <c r="N79" s="1214"/>
      <c r="O79" s="1215"/>
      <c r="P79" s="1533"/>
      <c r="Q79" s="1533"/>
      <c r="R79" s="1533"/>
      <c r="S79" s="1533"/>
      <c r="T79" s="1534"/>
      <c r="U79" s="664">
        <v>0</v>
      </c>
      <c r="V79" s="1227"/>
      <c r="W79" s="1214"/>
      <c r="X79" s="1215"/>
      <c r="Y79" s="1533"/>
      <c r="Z79" s="1533"/>
      <c r="AA79" s="1533"/>
      <c r="AB79" s="1533"/>
      <c r="AC79" s="1534"/>
      <c r="AD79" s="664">
        <v>0</v>
      </c>
      <c r="AE79" s="1227"/>
      <c r="AF79" s="1214"/>
      <c r="AG79" s="1215"/>
      <c r="AH79" s="1533"/>
      <c r="AI79" s="1533"/>
      <c r="AJ79" s="1533"/>
      <c r="AK79" s="1533"/>
      <c r="AL79" s="1534"/>
      <c r="AM79" s="664">
        <v>0</v>
      </c>
      <c r="AN79" s="1227"/>
      <c r="AO79" s="1214"/>
      <c r="AP79" s="1215"/>
      <c r="AQ79" s="1533"/>
      <c r="AR79" s="1533"/>
      <c r="AS79" s="1533"/>
      <c r="AT79" s="1533"/>
      <c r="AU79" s="1534"/>
      <c r="AV79" s="664">
        <v>0</v>
      </c>
    </row>
    <row r="80" spans="1:48" ht="15" customHeight="1">
      <c r="A80" s="1216" t="s">
        <v>287</v>
      </c>
      <c r="B80" s="1216"/>
      <c r="C80" s="1217"/>
      <c r="D80" s="331"/>
      <c r="E80" s="1214"/>
      <c r="F80" s="1215"/>
      <c r="G80" s="1533"/>
      <c r="H80" s="1533"/>
      <c r="I80" s="1533"/>
      <c r="J80" s="1533"/>
      <c r="K80" s="1534"/>
      <c r="L80" s="664">
        <v>0</v>
      </c>
      <c r="M80" s="1299"/>
      <c r="N80" s="1214"/>
      <c r="O80" s="1215"/>
      <c r="P80" s="1533"/>
      <c r="Q80" s="1533"/>
      <c r="R80" s="1533"/>
      <c r="S80" s="1533"/>
      <c r="T80" s="1534"/>
      <c r="U80" s="664">
        <v>0</v>
      </c>
      <c r="V80" s="1227"/>
      <c r="W80" s="1214"/>
      <c r="X80" s="1215"/>
      <c r="Y80" s="1533"/>
      <c r="Z80" s="1533"/>
      <c r="AA80" s="1533"/>
      <c r="AB80" s="1533"/>
      <c r="AC80" s="1534"/>
      <c r="AD80" s="664">
        <v>0</v>
      </c>
      <c r="AE80" s="1227"/>
      <c r="AF80" s="1214"/>
      <c r="AG80" s="1215"/>
      <c r="AH80" s="1533"/>
      <c r="AI80" s="1533"/>
      <c r="AJ80" s="1533"/>
      <c r="AK80" s="1533"/>
      <c r="AL80" s="1534"/>
      <c r="AM80" s="664">
        <v>0</v>
      </c>
      <c r="AN80" s="1227"/>
      <c r="AO80" s="1214"/>
      <c r="AP80" s="1215"/>
      <c r="AQ80" s="1533"/>
      <c r="AR80" s="1533"/>
      <c r="AS80" s="1533"/>
      <c r="AT80" s="1533"/>
      <c r="AU80" s="1534"/>
      <c r="AV80" s="664">
        <v>0</v>
      </c>
    </row>
    <row r="81" spans="1:48" ht="15" customHeight="1">
      <c r="A81" s="1216" t="s">
        <v>288</v>
      </c>
      <c r="B81" s="1216"/>
      <c r="C81" s="1217"/>
      <c r="D81" s="331"/>
      <c r="E81" s="1214"/>
      <c r="F81" s="1215"/>
      <c r="G81" s="1533"/>
      <c r="H81" s="1533"/>
      <c r="I81" s="1533"/>
      <c r="J81" s="1533"/>
      <c r="K81" s="1534"/>
      <c r="L81" s="664">
        <v>0</v>
      </c>
      <c r="M81" s="1299"/>
      <c r="N81" s="1214"/>
      <c r="O81" s="1215"/>
      <c r="P81" s="1533"/>
      <c r="Q81" s="1533"/>
      <c r="R81" s="1533"/>
      <c r="S81" s="1533"/>
      <c r="T81" s="1534"/>
      <c r="U81" s="664">
        <v>0</v>
      </c>
      <c r="V81" s="1227"/>
      <c r="W81" s="1214"/>
      <c r="X81" s="1215"/>
      <c r="Y81" s="1533"/>
      <c r="Z81" s="1533"/>
      <c r="AA81" s="1533"/>
      <c r="AB81" s="1533"/>
      <c r="AC81" s="1534"/>
      <c r="AD81" s="664">
        <v>0</v>
      </c>
      <c r="AE81" s="1227"/>
      <c r="AF81" s="1214"/>
      <c r="AG81" s="1215"/>
      <c r="AH81" s="1533"/>
      <c r="AI81" s="1533"/>
      <c r="AJ81" s="1533"/>
      <c r="AK81" s="1533"/>
      <c r="AL81" s="1534"/>
      <c r="AM81" s="664">
        <v>0</v>
      </c>
      <c r="AN81" s="1227"/>
      <c r="AO81" s="1214"/>
      <c r="AP81" s="1215"/>
      <c r="AQ81" s="1533"/>
      <c r="AR81" s="1533"/>
      <c r="AS81" s="1533"/>
      <c r="AT81" s="1533"/>
      <c r="AU81" s="1534"/>
      <c r="AV81" s="664">
        <v>0</v>
      </c>
    </row>
    <row r="82" spans="1:48" ht="15" customHeight="1">
      <c r="A82" s="1216" t="s">
        <v>289</v>
      </c>
      <c r="B82" s="1216"/>
      <c r="C82" s="1217"/>
      <c r="D82" s="331"/>
      <c r="E82" s="1214"/>
      <c r="F82" s="1215"/>
      <c r="G82" s="1533"/>
      <c r="H82" s="1533"/>
      <c r="I82" s="1533"/>
      <c r="J82" s="1533"/>
      <c r="K82" s="1534"/>
      <c r="L82" s="664">
        <v>0</v>
      </c>
      <c r="M82" s="1299"/>
      <c r="N82" s="1214"/>
      <c r="O82" s="1215"/>
      <c r="P82" s="1533"/>
      <c r="Q82" s="1533"/>
      <c r="R82" s="1533"/>
      <c r="S82" s="1533"/>
      <c r="T82" s="1534"/>
      <c r="U82" s="664">
        <v>0</v>
      </c>
      <c r="V82" s="1227"/>
      <c r="W82" s="1214"/>
      <c r="X82" s="1215"/>
      <c r="Y82" s="1533"/>
      <c r="Z82" s="1533"/>
      <c r="AA82" s="1533"/>
      <c r="AB82" s="1533"/>
      <c r="AC82" s="1534"/>
      <c r="AD82" s="664">
        <v>0</v>
      </c>
      <c r="AE82" s="1227"/>
      <c r="AF82" s="1214"/>
      <c r="AG82" s="1215"/>
      <c r="AH82" s="1533"/>
      <c r="AI82" s="1533"/>
      <c r="AJ82" s="1533"/>
      <c r="AK82" s="1533"/>
      <c r="AL82" s="1534"/>
      <c r="AM82" s="664">
        <v>0</v>
      </c>
      <c r="AN82" s="1227"/>
      <c r="AO82" s="1214"/>
      <c r="AP82" s="1215"/>
      <c r="AQ82" s="1533"/>
      <c r="AR82" s="1533"/>
      <c r="AS82" s="1533"/>
      <c r="AT82" s="1533"/>
      <c r="AU82" s="1534"/>
      <c r="AV82" s="664">
        <v>0</v>
      </c>
    </row>
    <row r="83" spans="1:48" ht="15" customHeight="1">
      <c r="A83" s="1216" t="s">
        <v>290</v>
      </c>
      <c r="B83" s="1216"/>
      <c r="C83" s="1217"/>
      <c r="D83" s="331"/>
      <c r="E83" s="1214"/>
      <c r="F83" s="1215"/>
      <c r="G83" s="1533"/>
      <c r="H83" s="1533"/>
      <c r="I83" s="1533"/>
      <c r="J83" s="1533"/>
      <c r="K83" s="1534"/>
      <c r="L83" s="664">
        <v>0</v>
      </c>
      <c r="M83" s="1299"/>
      <c r="N83" s="1214"/>
      <c r="O83" s="1215"/>
      <c r="P83" s="1533"/>
      <c r="Q83" s="1533"/>
      <c r="R83" s="1533"/>
      <c r="S83" s="1533"/>
      <c r="T83" s="1534"/>
      <c r="U83" s="664">
        <v>0</v>
      </c>
      <c r="V83" s="1227"/>
      <c r="W83" s="1214"/>
      <c r="X83" s="1215"/>
      <c r="Y83" s="1533"/>
      <c r="Z83" s="1533"/>
      <c r="AA83" s="1533"/>
      <c r="AB83" s="1533"/>
      <c r="AC83" s="1534"/>
      <c r="AD83" s="664">
        <v>0</v>
      </c>
      <c r="AE83" s="1227"/>
      <c r="AF83" s="1214"/>
      <c r="AG83" s="1215"/>
      <c r="AH83" s="1533"/>
      <c r="AI83" s="1533"/>
      <c r="AJ83" s="1533"/>
      <c r="AK83" s="1533"/>
      <c r="AL83" s="1534"/>
      <c r="AM83" s="664">
        <v>0</v>
      </c>
      <c r="AN83" s="1227"/>
      <c r="AO83" s="1214"/>
      <c r="AP83" s="1215"/>
      <c r="AQ83" s="1533"/>
      <c r="AR83" s="1533"/>
      <c r="AS83" s="1533"/>
      <c r="AT83" s="1533"/>
      <c r="AU83" s="1534"/>
      <c r="AV83" s="664">
        <v>0</v>
      </c>
    </row>
    <row r="84" spans="1:48" ht="15" customHeight="1">
      <c r="A84" s="1216" t="s">
        <v>291</v>
      </c>
      <c r="B84" s="1216"/>
      <c r="C84" s="1217"/>
      <c r="D84" s="331"/>
      <c r="E84" s="1214"/>
      <c r="F84" s="1215"/>
      <c r="G84" s="1533"/>
      <c r="H84" s="1533"/>
      <c r="I84" s="1533"/>
      <c r="J84" s="1533"/>
      <c r="K84" s="1534"/>
      <c r="L84" s="664">
        <v>0</v>
      </c>
      <c r="M84" s="1299"/>
      <c r="N84" s="1214"/>
      <c r="O84" s="1215"/>
      <c r="P84" s="1533"/>
      <c r="Q84" s="1533"/>
      <c r="R84" s="1533"/>
      <c r="S84" s="1533"/>
      <c r="T84" s="1534"/>
      <c r="U84" s="664">
        <v>0</v>
      </c>
      <c r="V84" s="1227"/>
      <c r="W84" s="1214"/>
      <c r="X84" s="1215"/>
      <c r="Y84" s="1533"/>
      <c r="Z84" s="1533"/>
      <c r="AA84" s="1533"/>
      <c r="AB84" s="1533"/>
      <c r="AC84" s="1534"/>
      <c r="AD84" s="664">
        <v>0</v>
      </c>
      <c r="AE84" s="1227"/>
      <c r="AF84" s="1214"/>
      <c r="AG84" s="1215"/>
      <c r="AH84" s="1533"/>
      <c r="AI84" s="1533"/>
      <c r="AJ84" s="1533"/>
      <c r="AK84" s="1533"/>
      <c r="AL84" s="1534"/>
      <c r="AM84" s="664">
        <v>0</v>
      </c>
      <c r="AN84" s="1227"/>
      <c r="AO84" s="1214"/>
      <c r="AP84" s="1215"/>
      <c r="AQ84" s="1533"/>
      <c r="AR84" s="1533"/>
      <c r="AS84" s="1533"/>
      <c r="AT84" s="1533"/>
      <c r="AU84" s="1534"/>
      <c r="AV84" s="664">
        <v>0</v>
      </c>
    </row>
    <row r="85" spans="1:48" ht="15" customHeight="1">
      <c r="A85" s="1216" t="s">
        <v>292</v>
      </c>
      <c r="B85" s="1216"/>
      <c r="C85" s="1217"/>
      <c r="D85" s="331"/>
      <c r="E85" s="1214"/>
      <c r="F85" s="1215"/>
      <c r="G85" s="1533"/>
      <c r="H85" s="1533"/>
      <c r="I85" s="1533"/>
      <c r="J85" s="1533"/>
      <c r="K85" s="1534"/>
      <c r="L85" s="664">
        <v>0</v>
      </c>
      <c r="M85" s="1299"/>
      <c r="N85" s="1214"/>
      <c r="O85" s="1215"/>
      <c r="P85" s="1533"/>
      <c r="Q85" s="1533"/>
      <c r="R85" s="1533"/>
      <c r="S85" s="1533"/>
      <c r="T85" s="1534"/>
      <c r="U85" s="664">
        <v>0</v>
      </c>
      <c r="V85" s="1227"/>
      <c r="W85" s="1214"/>
      <c r="X85" s="1215"/>
      <c r="Y85" s="1533"/>
      <c r="Z85" s="1533"/>
      <c r="AA85" s="1533"/>
      <c r="AB85" s="1533"/>
      <c r="AC85" s="1534"/>
      <c r="AD85" s="664">
        <v>0</v>
      </c>
      <c r="AE85" s="1227"/>
      <c r="AF85" s="1214"/>
      <c r="AG85" s="1215"/>
      <c r="AH85" s="1533"/>
      <c r="AI85" s="1533"/>
      <c r="AJ85" s="1533"/>
      <c r="AK85" s="1533"/>
      <c r="AL85" s="1534"/>
      <c r="AM85" s="664">
        <v>0</v>
      </c>
      <c r="AN85" s="1227"/>
      <c r="AO85" s="1214"/>
      <c r="AP85" s="1215"/>
      <c r="AQ85" s="1533"/>
      <c r="AR85" s="1533"/>
      <c r="AS85" s="1533"/>
      <c r="AT85" s="1533"/>
      <c r="AU85" s="1534"/>
      <c r="AV85" s="664">
        <v>0</v>
      </c>
    </row>
    <row r="86" spans="1:48" ht="15" customHeight="1">
      <c r="A86" s="1216" t="s">
        <v>293</v>
      </c>
      <c r="B86" s="1216"/>
      <c r="C86" s="1217"/>
      <c r="D86" s="331"/>
      <c r="E86" s="1214"/>
      <c r="F86" s="1215"/>
      <c r="G86" s="1533"/>
      <c r="H86" s="1533"/>
      <c r="I86" s="1533"/>
      <c r="J86" s="1533"/>
      <c r="K86" s="1534"/>
      <c r="L86" s="664">
        <v>0</v>
      </c>
      <c r="M86" s="1299"/>
      <c r="N86" s="1214"/>
      <c r="O86" s="1215"/>
      <c r="P86" s="1533"/>
      <c r="Q86" s="1533"/>
      <c r="R86" s="1533"/>
      <c r="S86" s="1533"/>
      <c r="T86" s="1534"/>
      <c r="U86" s="664">
        <v>0</v>
      </c>
      <c r="V86" s="1227"/>
      <c r="W86" s="1214"/>
      <c r="X86" s="1215"/>
      <c r="Y86" s="1533"/>
      <c r="Z86" s="1533"/>
      <c r="AA86" s="1533"/>
      <c r="AB86" s="1533"/>
      <c r="AC86" s="1534"/>
      <c r="AD86" s="664">
        <v>0</v>
      </c>
      <c r="AE86" s="1227"/>
      <c r="AF86" s="1214"/>
      <c r="AG86" s="1215"/>
      <c r="AH86" s="1533"/>
      <c r="AI86" s="1533"/>
      <c r="AJ86" s="1533"/>
      <c r="AK86" s="1533"/>
      <c r="AL86" s="1534"/>
      <c r="AM86" s="664">
        <v>0</v>
      </c>
      <c r="AN86" s="1227"/>
      <c r="AO86" s="1214"/>
      <c r="AP86" s="1215"/>
      <c r="AQ86" s="1533"/>
      <c r="AR86" s="1533"/>
      <c r="AS86" s="1533"/>
      <c r="AT86" s="1533"/>
      <c r="AU86" s="1534"/>
      <c r="AV86" s="664">
        <v>0</v>
      </c>
    </row>
    <row r="87" spans="1:48" ht="15" customHeight="1">
      <c r="A87" s="1216" t="s">
        <v>294</v>
      </c>
      <c r="B87" s="1216"/>
      <c r="C87" s="1217"/>
      <c r="D87" s="331"/>
      <c r="E87" s="1214"/>
      <c r="F87" s="1215"/>
      <c r="G87" s="1533"/>
      <c r="H87" s="1533"/>
      <c r="I87" s="1533"/>
      <c r="J87" s="1533"/>
      <c r="K87" s="1534"/>
      <c r="L87" s="664">
        <v>0</v>
      </c>
      <c r="M87" s="1299"/>
      <c r="N87" s="1214"/>
      <c r="O87" s="1215"/>
      <c r="P87" s="1533"/>
      <c r="Q87" s="1533"/>
      <c r="R87" s="1533"/>
      <c r="S87" s="1533"/>
      <c r="T87" s="1534"/>
      <c r="U87" s="664">
        <v>0</v>
      </c>
      <c r="V87" s="1227"/>
      <c r="W87" s="1214"/>
      <c r="X87" s="1215"/>
      <c r="Y87" s="1533"/>
      <c r="Z87" s="1533"/>
      <c r="AA87" s="1533"/>
      <c r="AB87" s="1533"/>
      <c r="AC87" s="1534"/>
      <c r="AD87" s="664">
        <v>0</v>
      </c>
      <c r="AE87" s="1227"/>
      <c r="AF87" s="1214"/>
      <c r="AG87" s="1215"/>
      <c r="AH87" s="1533"/>
      <c r="AI87" s="1533"/>
      <c r="AJ87" s="1533"/>
      <c r="AK87" s="1533"/>
      <c r="AL87" s="1534"/>
      <c r="AM87" s="664">
        <v>0</v>
      </c>
      <c r="AN87" s="1227"/>
      <c r="AO87" s="1214"/>
      <c r="AP87" s="1215"/>
      <c r="AQ87" s="1533"/>
      <c r="AR87" s="1533"/>
      <c r="AS87" s="1533"/>
      <c r="AT87" s="1533"/>
      <c r="AU87" s="1534"/>
      <c r="AV87" s="664">
        <v>0</v>
      </c>
    </row>
    <row r="88" spans="1:48" ht="15" customHeight="1">
      <c r="A88" s="1218" t="s">
        <v>295</v>
      </c>
      <c r="B88" s="1218"/>
      <c r="C88" s="1219"/>
      <c r="D88" s="331"/>
      <c r="E88" s="1214"/>
      <c r="F88" s="1215"/>
      <c r="G88" s="1533"/>
      <c r="H88" s="1533"/>
      <c r="I88" s="1533"/>
      <c r="J88" s="1533"/>
      <c r="K88" s="1534"/>
      <c r="L88" s="664">
        <v>0</v>
      </c>
      <c r="M88" s="1299"/>
      <c r="N88" s="1214"/>
      <c r="O88" s="1215"/>
      <c r="P88" s="1533"/>
      <c r="Q88" s="1533"/>
      <c r="R88" s="1533"/>
      <c r="S88" s="1533"/>
      <c r="T88" s="1534"/>
      <c r="U88" s="664">
        <v>0</v>
      </c>
      <c r="V88" s="1227"/>
      <c r="W88" s="1214"/>
      <c r="X88" s="1215"/>
      <c r="Y88" s="1533"/>
      <c r="Z88" s="1533"/>
      <c r="AA88" s="1533"/>
      <c r="AB88" s="1533"/>
      <c r="AC88" s="1534"/>
      <c r="AD88" s="664">
        <v>0</v>
      </c>
      <c r="AE88" s="1227"/>
      <c r="AF88" s="1214"/>
      <c r="AG88" s="1215"/>
      <c r="AH88" s="1533"/>
      <c r="AI88" s="1533"/>
      <c r="AJ88" s="1533"/>
      <c r="AK88" s="1533"/>
      <c r="AL88" s="1534"/>
      <c r="AM88" s="664">
        <v>0</v>
      </c>
      <c r="AN88" s="1227"/>
      <c r="AO88" s="1214"/>
      <c r="AP88" s="1215"/>
      <c r="AQ88" s="1533"/>
      <c r="AR88" s="1533"/>
      <c r="AS88" s="1533"/>
      <c r="AT88" s="1533"/>
      <c r="AU88" s="1534"/>
      <c r="AV88" s="664">
        <v>0</v>
      </c>
    </row>
    <row r="89" spans="1:48" ht="15" customHeight="1">
      <c r="A89" s="1220" t="s">
        <v>296</v>
      </c>
      <c r="B89" s="1220"/>
      <c r="C89" s="1221"/>
      <c r="D89" s="331"/>
      <c r="E89" s="1214"/>
      <c r="F89" s="1215"/>
      <c r="G89" s="1533"/>
      <c r="H89" s="1533"/>
      <c r="I89" s="1533"/>
      <c r="J89" s="1533"/>
      <c r="K89" s="1534"/>
      <c r="L89" s="664">
        <v>0</v>
      </c>
      <c r="M89" s="1299"/>
      <c r="N89" s="1214"/>
      <c r="O89" s="1215"/>
      <c r="P89" s="1533"/>
      <c r="Q89" s="1533"/>
      <c r="R89" s="1533"/>
      <c r="S89" s="1533"/>
      <c r="T89" s="1534"/>
      <c r="U89" s="664">
        <v>0</v>
      </c>
      <c r="V89" s="1227"/>
      <c r="W89" s="1214"/>
      <c r="X89" s="1215"/>
      <c r="Y89" s="1533"/>
      <c r="Z89" s="1533"/>
      <c r="AA89" s="1533"/>
      <c r="AB89" s="1533"/>
      <c r="AC89" s="1534"/>
      <c r="AD89" s="664">
        <v>0</v>
      </c>
      <c r="AE89" s="1227"/>
      <c r="AF89" s="1214"/>
      <c r="AG89" s="1215"/>
      <c r="AH89" s="1533"/>
      <c r="AI89" s="1533"/>
      <c r="AJ89" s="1533"/>
      <c r="AK89" s="1533"/>
      <c r="AL89" s="1534"/>
      <c r="AM89" s="664">
        <v>0</v>
      </c>
      <c r="AN89" s="1227"/>
      <c r="AO89" s="1214"/>
      <c r="AP89" s="1215"/>
      <c r="AQ89" s="1533"/>
      <c r="AR89" s="1533"/>
      <c r="AS89" s="1533"/>
      <c r="AT89" s="1533"/>
      <c r="AU89" s="1534"/>
      <c r="AV89" s="664">
        <v>0</v>
      </c>
    </row>
    <row r="90" spans="1:48" ht="15" customHeight="1">
      <c r="A90" s="1222" t="s">
        <v>297</v>
      </c>
      <c r="B90" s="1222"/>
      <c r="C90" s="1223"/>
      <c r="D90" s="331"/>
      <c r="E90" s="1214"/>
      <c r="F90" s="1215"/>
      <c r="G90" s="1533"/>
      <c r="H90" s="1533"/>
      <c r="I90" s="1533"/>
      <c r="J90" s="1533"/>
      <c r="K90" s="1534"/>
      <c r="L90" s="664">
        <v>0</v>
      </c>
      <c r="M90" s="1299"/>
      <c r="N90" s="1214"/>
      <c r="O90" s="1215"/>
      <c r="P90" s="1533"/>
      <c r="Q90" s="1533"/>
      <c r="R90" s="1533"/>
      <c r="S90" s="1533"/>
      <c r="T90" s="1534"/>
      <c r="U90" s="664">
        <v>0</v>
      </c>
      <c r="V90" s="1227"/>
      <c r="W90" s="1214"/>
      <c r="X90" s="1215"/>
      <c r="Y90" s="1533"/>
      <c r="Z90" s="1533"/>
      <c r="AA90" s="1533"/>
      <c r="AB90" s="1533"/>
      <c r="AC90" s="1534"/>
      <c r="AD90" s="664">
        <v>0</v>
      </c>
      <c r="AE90" s="1227"/>
      <c r="AF90" s="1214"/>
      <c r="AG90" s="1215"/>
      <c r="AH90" s="1533"/>
      <c r="AI90" s="1533"/>
      <c r="AJ90" s="1533"/>
      <c r="AK90" s="1533"/>
      <c r="AL90" s="1534"/>
      <c r="AM90" s="664">
        <v>0</v>
      </c>
      <c r="AN90" s="1227"/>
      <c r="AO90" s="1214"/>
      <c r="AP90" s="1215"/>
      <c r="AQ90" s="1533"/>
      <c r="AR90" s="1533"/>
      <c r="AS90" s="1533"/>
      <c r="AT90" s="1533"/>
      <c r="AU90" s="1534"/>
      <c r="AV90" s="664">
        <v>0</v>
      </c>
    </row>
    <row r="91" spans="1:48" ht="15" customHeight="1">
      <c r="A91" s="1222" t="s">
        <v>298</v>
      </c>
      <c r="B91" s="1222"/>
      <c r="C91" s="1223"/>
      <c r="D91" s="331"/>
      <c r="E91" s="1214"/>
      <c r="F91" s="1215"/>
      <c r="G91" s="1533"/>
      <c r="H91" s="1533"/>
      <c r="I91" s="1533"/>
      <c r="J91" s="1533"/>
      <c r="K91" s="1534"/>
      <c r="L91" s="664">
        <v>0</v>
      </c>
      <c r="M91" s="1299"/>
      <c r="N91" s="1214"/>
      <c r="O91" s="1215"/>
      <c r="P91" s="1533"/>
      <c r="Q91" s="1533"/>
      <c r="R91" s="1533"/>
      <c r="S91" s="1533"/>
      <c r="T91" s="1534"/>
      <c r="U91" s="664">
        <v>0</v>
      </c>
      <c r="V91" s="1227"/>
      <c r="W91" s="1214"/>
      <c r="X91" s="1215"/>
      <c r="Y91" s="1533"/>
      <c r="Z91" s="1533"/>
      <c r="AA91" s="1533"/>
      <c r="AB91" s="1533"/>
      <c r="AC91" s="1534"/>
      <c r="AD91" s="664">
        <v>0</v>
      </c>
      <c r="AE91" s="1227"/>
      <c r="AF91" s="1214"/>
      <c r="AG91" s="1215"/>
      <c r="AH91" s="1533"/>
      <c r="AI91" s="1533"/>
      <c r="AJ91" s="1533"/>
      <c r="AK91" s="1533"/>
      <c r="AL91" s="1534"/>
      <c r="AM91" s="664">
        <v>0</v>
      </c>
      <c r="AN91" s="1227"/>
      <c r="AO91" s="1214"/>
      <c r="AP91" s="1215"/>
      <c r="AQ91" s="1533"/>
      <c r="AR91" s="1533"/>
      <c r="AS91" s="1533"/>
      <c r="AT91" s="1533"/>
      <c r="AU91" s="1534"/>
      <c r="AV91" s="664">
        <v>0</v>
      </c>
    </row>
    <row r="92" spans="1:48" ht="15" customHeight="1">
      <c r="A92" s="1222" t="s">
        <v>299</v>
      </c>
      <c r="B92" s="1222"/>
      <c r="C92" s="1223"/>
      <c r="D92" s="331"/>
      <c r="E92" s="1214"/>
      <c r="F92" s="1215"/>
      <c r="G92" s="1533"/>
      <c r="H92" s="1533"/>
      <c r="I92" s="1533"/>
      <c r="J92" s="1533"/>
      <c r="K92" s="1534"/>
      <c r="L92" s="664">
        <v>0</v>
      </c>
      <c r="M92" s="1299"/>
      <c r="N92" s="1214"/>
      <c r="O92" s="1215"/>
      <c r="P92" s="1533"/>
      <c r="Q92" s="1533"/>
      <c r="R92" s="1533"/>
      <c r="S92" s="1533"/>
      <c r="T92" s="1534"/>
      <c r="U92" s="664">
        <v>0</v>
      </c>
      <c r="V92" s="1227"/>
      <c r="W92" s="1214"/>
      <c r="X92" s="1215"/>
      <c r="Y92" s="1533"/>
      <c r="Z92" s="1533"/>
      <c r="AA92" s="1533"/>
      <c r="AB92" s="1533"/>
      <c r="AC92" s="1534"/>
      <c r="AD92" s="664">
        <v>0</v>
      </c>
      <c r="AE92" s="1227"/>
      <c r="AF92" s="1214"/>
      <c r="AG92" s="1215"/>
      <c r="AH92" s="1533"/>
      <c r="AI92" s="1533"/>
      <c r="AJ92" s="1533"/>
      <c r="AK92" s="1533"/>
      <c r="AL92" s="1534"/>
      <c r="AM92" s="664">
        <v>0</v>
      </c>
      <c r="AN92" s="1227"/>
      <c r="AO92" s="1214"/>
      <c r="AP92" s="1215"/>
      <c r="AQ92" s="1533"/>
      <c r="AR92" s="1533"/>
      <c r="AS92" s="1533"/>
      <c r="AT92" s="1533"/>
      <c r="AU92" s="1534"/>
      <c r="AV92" s="664">
        <v>0</v>
      </c>
    </row>
    <row r="93" spans="1:48" ht="15" customHeight="1">
      <c r="A93" s="1222" t="s">
        <v>300</v>
      </c>
      <c r="B93" s="1222"/>
      <c r="C93" s="1223"/>
      <c r="D93" s="331"/>
      <c r="E93" s="1214"/>
      <c r="F93" s="1215"/>
      <c r="G93" s="1533"/>
      <c r="H93" s="1533"/>
      <c r="I93" s="1533"/>
      <c r="J93" s="1533"/>
      <c r="K93" s="1534"/>
      <c r="L93" s="665">
        <v>0</v>
      </c>
      <c r="M93" s="1299"/>
      <c r="N93" s="1214"/>
      <c r="O93" s="1215"/>
      <c r="P93" s="1533"/>
      <c r="Q93" s="1533"/>
      <c r="R93" s="1533"/>
      <c r="S93" s="1533"/>
      <c r="T93" s="1534"/>
      <c r="U93" s="665">
        <v>0</v>
      </c>
      <c r="V93" s="1227"/>
      <c r="W93" s="1214"/>
      <c r="X93" s="1215"/>
      <c r="Y93" s="1533"/>
      <c r="Z93" s="1533"/>
      <c r="AA93" s="1533"/>
      <c r="AB93" s="1533"/>
      <c r="AC93" s="1534"/>
      <c r="AD93" s="665">
        <v>0</v>
      </c>
      <c r="AE93" s="1227"/>
      <c r="AF93" s="1214"/>
      <c r="AG93" s="1215"/>
      <c r="AH93" s="1533"/>
      <c r="AI93" s="1533"/>
      <c r="AJ93" s="1533"/>
      <c r="AK93" s="1533"/>
      <c r="AL93" s="1534"/>
      <c r="AM93" s="665">
        <v>0</v>
      </c>
      <c r="AN93" s="1227"/>
      <c r="AO93" s="1214"/>
      <c r="AP93" s="1215"/>
      <c r="AQ93" s="1533"/>
      <c r="AR93" s="1533"/>
      <c r="AS93" s="1533"/>
      <c r="AT93" s="1533"/>
      <c r="AU93" s="1534"/>
      <c r="AV93" s="665">
        <v>0</v>
      </c>
    </row>
    <row r="94" spans="1:48" ht="15" customHeight="1">
      <c r="A94" s="1222" t="s">
        <v>301</v>
      </c>
      <c r="B94" s="1222"/>
      <c r="C94" s="1223"/>
      <c r="D94" s="331"/>
      <c r="E94" s="1214"/>
      <c r="F94" s="1215"/>
      <c r="G94" s="1533"/>
      <c r="H94" s="1533"/>
      <c r="I94" s="1533"/>
      <c r="J94" s="1533"/>
      <c r="K94" s="1534"/>
      <c r="L94" s="143">
        <v>0</v>
      </c>
      <c r="M94" s="1299"/>
      <c r="N94" s="1214"/>
      <c r="O94" s="1215"/>
      <c r="P94" s="1533"/>
      <c r="Q94" s="1533"/>
      <c r="R94" s="1533"/>
      <c r="S94" s="1533"/>
      <c r="T94" s="1534"/>
      <c r="U94" s="143">
        <v>0</v>
      </c>
      <c r="V94" s="1227"/>
      <c r="W94" s="1214"/>
      <c r="X94" s="1215"/>
      <c r="Y94" s="1533"/>
      <c r="Z94" s="1533"/>
      <c r="AA94" s="1533"/>
      <c r="AB94" s="1533"/>
      <c r="AC94" s="1534"/>
      <c r="AD94" s="143">
        <v>0</v>
      </c>
      <c r="AE94" s="1227"/>
      <c r="AF94" s="1214"/>
      <c r="AG94" s="1215"/>
      <c r="AH94" s="1533"/>
      <c r="AI94" s="1533"/>
      <c r="AJ94" s="1533"/>
      <c r="AK94" s="1533"/>
      <c r="AL94" s="1534"/>
      <c r="AM94" s="143">
        <v>0</v>
      </c>
      <c r="AN94" s="1227"/>
      <c r="AO94" s="1214"/>
      <c r="AP94" s="1215"/>
      <c r="AQ94" s="1533"/>
      <c r="AR94" s="1533"/>
      <c r="AS94" s="1533"/>
      <c r="AT94" s="1533"/>
      <c r="AU94" s="1534"/>
      <c r="AV94" s="143">
        <v>0</v>
      </c>
    </row>
    <row r="95" spans="1:48" ht="15" customHeight="1">
      <c r="A95" s="1222" t="s">
        <v>302</v>
      </c>
      <c r="B95" s="1222"/>
      <c r="C95" s="1223"/>
      <c r="D95" s="331"/>
      <c r="E95" s="1214"/>
      <c r="F95" s="1215"/>
      <c r="G95" s="1533"/>
      <c r="H95" s="1533"/>
      <c r="I95" s="1533"/>
      <c r="J95" s="1533"/>
      <c r="K95" s="1534"/>
      <c r="L95" s="145">
        <v>0</v>
      </c>
      <c r="M95" s="1299"/>
      <c r="N95" s="1214"/>
      <c r="O95" s="1215"/>
      <c r="P95" s="1533"/>
      <c r="Q95" s="1533"/>
      <c r="R95" s="1533"/>
      <c r="S95" s="1533"/>
      <c r="T95" s="1534"/>
      <c r="U95" s="145">
        <v>0</v>
      </c>
      <c r="V95" s="1227"/>
      <c r="W95" s="1214"/>
      <c r="X95" s="1215"/>
      <c r="Y95" s="1533"/>
      <c r="Z95" s="1533"/>
      <c r="AA95" s="1533"/>
      <c r="AB95" s="1533"/>
      <c r="AC95" s="1534"/>
      <c r="AD95" s="145">
        <v>0</v>
      </c>
      <c r="AE95" s="1227"/>
      <c r="AF95" s="1214"/>
      <c r="AG95" s="1215"/>
      <c r="AH95" s="1533"/>
      <c r="AI95" s="1533"/>
      <c r="AJ95" s="1533"/>
      <c r="AK95" s="1533"/>
      <c r="AL95" s="1534"/>
      <c r="AM95" s="145">
        <v>0</v>
      </c>
      <c r="AN95" s="1227"/>
      <c r="AO95" s="1214"/>
      <c r="AP95" s="1215"/>
      <c r="AQ95" s="1533"/>
      <c r="AR95" s="1533"/>
      <c r="AS95" s="1533"/>
      <c r="AT95" s="1533"/>
      <c r="AU95" s="1534"/>
      <c r="AV95" s="145">
        <v>0</v>
      </c>
    </row>
    <row r="96" spans="1:48" ht="15" customHeight="1">
      <c r="A96" s="1222" t="s">
        <v>303</v>
      </c>
      <c r="B96" s="1222"/>
      <c r="C96" s="1223"/>
      <c r="D96" s="331"/>
      <c r="E96" s="1214"/>
      <c r="F96" s="1215"/>
      <c r="G96" s="1533"/>
      <c r="H96" s="1533"/>
      <c r="I96" s="1533"/>
      <c r="J96" s="1533"/>
      <c r="K96" s="1534"/>
      <c r="L96" s="146">
        <v>0</v>
      </c>
      <c r="M96" s="1299"/>
      <c r="N96" s="1214"/>
      <c r="O96" s="1215"/>
      <c r="P96" s="1533"/>
      <c r="Q96" s="1533"/>
      <c r="R96" s="1533"/>
      <c r="S96" s="1533"/>
      <c r="T96" s="1534"/>
      <c r="U96" s="146">
        <v>0</v>
      </c>
      <c r="V96" s="1227"/>
      <c r="W96" s="1214"/>
      <c r="X96" s="1215"/>
      <c r="Y96" s="1533"/>
      <c r="Z96" s="1533"/>
      <c r="AA96" s="1533"/>
      <c r="AB96" s="1533"/>
      <c r="AC96" s="1534"/>
      <c r="AD96" s="146">
        <v>0</v>
      </c>
      <c r="AE96" s="1227"/>
      <c r="AF96" s="1214"/>
      <c r="AG96" s="1215"/>
      <c r="AH96" s="1533"/>
      <c r="AI96" s="1533"/>
      <c r="AJ96" s="1533"/>
      <c r="AK96" s="1533"/>
      <c r="AL96" s="1534"/>
      <c r="AM96" s="146">
        <v>0</v>
      </c>
      <c r="AN96" s="1227"/>
      <c r="AO96" s="1214"/>
      <c r="AP96" s="1215"/>
      <c r="AQ96" s="1533"/>
      <c r="AR96" s="1533"/>
      <c r="AS96" s="1533"/>
      <c r="AT96" s="1533"/>
      <c r="AU96" s="1534"/>
      <c r="AV96" s="146">
        <v>0</v>
      </c>
    </row>
    <row r="97" spans="1:48" ht="15" customHeight="1" thickBot="1">
      <c r="A97" s="1327" t="s">
        <v>304</v>
      </c>
      <c r="B97" s="1327"/>
      <c r="C97" s="1328"/>
      <c r="D97" s="331"/>
      <c r="E97" s="1214"/>
      <c r="F97" s="1215"/>
      <c r="G97" s="1533"/>
      <c r="H97" s="1533"/>
      <c r="I97" s="1533"/>
      <c r="J97" s="1533"/>
      <c r="K97" s="1534"/>
      <c r="L97" s="146">
        <v>0</v>
      </c>
      <c r="M97" s="1299"/>
      <c r="N97" s="1214"/>
      <c r="O97" s="1215"/>
      <c r="P97" s="1533"/>
      <c r="Q97" s="1533"/>
      <c r="R97" s="1533"/>
      <c r="S97" s="1533"/>
      <c r="T97" s="1534"/>
      <c r="U97" s="146">
        <v>0</v>
      </c>
      <c r="V97" s="1227"/>
      <c r="W97" s="1214"/>
      <c r="X97" s="1215"/>
      <c r="Y97" s="1533"/>
      <c r="Z97" s="1533"/>
      <c r="AA97" s="1533"/>
      <c r="AB97" s="1533"/>
      <c r="AC97" s="1534"/>
      <c r="AD97" s="146">
        <v>0</v>
      </c>
      <c r="AE97" s="1227"/>
      <c r="AF97" s="1214"/>
      <c r="AG97" s="1215"/>
      <c r="AH97" s="1533"/>
      <c r="AI97" s="1533"/>
      <c r="AJ97" s="1533"/>
      <c r="AK97" s="1533"/>
      <c r="AL97" s="1534"/>
      <c r="AM97" s="146">
        <v>0</v>
      </c>
      <c r="AN97" s="1227"/>
      <c r="AO97" s="1214"/>
      <c r="AP97" s="1215"/>
      <c r="AQ97" s="1533"/>
      <c r="AR97" s="1533"/>
      <c r="AS97" s="1533"/>
      <c r="AT97" s="1533"/>
      <c r="AU97" s="1534"/>
      <c r="AV97" s="146">
        <v>0</v>
      </c>
    </row>
    <row r="98" spans="1:48" ht="15.75" customHeight="1" thickBot="1">
      <c r="A98" s="1324" t="s">
        <v>215</v>
      </c>
      <c r="B98" s="1325"/>
      <c r="C98" s="1326"/>
      <c r="D98" s="331"/>
      <c r="E98" s="1601"/>
      <c r="F98" s="1602"/>
      <c r="G98" s="1602"/>
      <c r="H98" s="1602"/>
      <c r="I98" s="1602"/>
      <c r="J98" s="1602"/>
      <c r="K98" s="1603"/>
      <c r="L98" s="312">
        <f>SUM(L92:L97)</f>
        <v>0</v>
      </c>
      <c r="M98" s="1299"/>
      <c r="N98" s="1601"/>
      <c r="O98" s="1602"/>
      <c r="P98" s="1602"/>
      <c r="Q98" s="1602"/>
      <c r="R98" s="1602"/>
      <c r="S98" s="1602"/>
      <c r="T98" s="1603"/>
      <c r="U98" s="312">
        <f>SUM(U92:U97)</f>
        <v>0</v>
      </c>
      <c r="V98" s="1227"/>
      <c r="W98" s="1601"/>
      <c r="X98" s="1602"/>
      <c r="Y98" s="1602"/>
      <c r="Z98" s="1602"/>
      <c r="AA98" s="1602"/>
      <c r="AB98" s="1602"/>
      <c r="AC98" s="1603"/>
      <c r="AD98" s="312">
        <f>SUM(AD92:AD97)</f>
        <v>0</v>
      </c>
      <c r="AE98" s="1227"/>
      <c r="AF98" s="1601"/>
      <c r="AG98" s="1602"/>
      <c r="AH98" s="1602"/>
      <c r="AI98" s="1602"/>
      <c r="AJ98" s="1602"/>
      <c r="AK98" s="1602"/>
      <c r="AL98" s="1603"/>
      <c r="AM98" s="312">
        <f>SUM(AM92:AM97)</f>
        <v>0</v>
      </c>
      <c r="AN98" s="1227"/>
      <c r="AO98" s="1601"/>
      <c r="AP98" s="1602"/>
      <c r="AQ98" s="1602"/>
      <c r="AR98" s="1602"/>
      <c r="AS98" s="1602"/>
      <c r="AT98" s="1602"/>
      <c r="AU98" s="1603"/>
      <c r="AV98" s="312">
        <f>SUM(AV92:AV97)</f>
        <v>0</v>
      </c>
    </row>
    <row r="99" spans="1:48" ht="15.75" customHeight="1" thickBot="1">
      <c r="A99" s="1604"/>
      <c r="B99" s="1585"/>
      <c r="C99" s="1586"/>
      <c r="D99" s="331"/>
      <c r="E99" s="1229"/>
      <c r="F99" s="1230"/>
      <c r="G99" s="1230"/>
      <c r="H99" s="1230"/>
      <c r="I99" s="1230"/>
      <c r="J99" s="1230"/>
      <c r="K99" s="1230"/>
      <c r="L99" s="102"/>
      <c r="M99" s="1299"/>
      <c r="N99" s="1229"/>
      <c r="O99" s="1230"/>
      <c r="P99" s="1230"/>
      <c r="Q99" s="1230"/>
      <c r="R99" s="1230"/>
      <c r="S99" s="1230"/>
      <c r="T99" s="1230"/>
      <c r="U99" s="102"/>
      <c r="V99" s="1227"/>
      <c r="W99" s="1229"/>
      <c r="X99" s="1230"/>
      <c r="Y99" s="1230"/>
      <c r="Z99" s="1230"/>
      <c r="AA99" s="1230"/>
      <c r="AB99" s="1230"/>
      <c r="AC99" s="1230"/>
      <c r="AD99" s="102"/>
      <c r="AE99" s="1227"/>
      <c r="AF99" s="1229"/>
      <c r="AG99" s="1230"/>
      <c r="AH99" s="1230"/>
      <c r="AI99" s="1230"/>
      <c r="AJ99" s="1230"/>
      <c r="AK99" s="1230"/>
      <c r="AL99" s="1230"/>
      <c r="AM99" s="102"/>
      <c r="AN99" s="1227"/>
      <c r="AO99" s="1229"/>
      <c r="AP99" s="1230"/>
      <c r="AQ99" s="1230"/>
      <c r="AR99" s="1230"/>
      <c r="AS99" s="1230"/>
      <c r="AT99" s="1230"/>
      <c r="AU99" s="1230"/>
      <c r="AV99" s="102"/>
    </row>
    <row r="100" spans="1:48" ht="15.75" customHeight="1" thickBot="1">
      <c r="A100" s="1324" t="s">
        <v>216</v>
      </c>
      <c r="B100" s="1325"/>
      <c r="C100" s="1326"/>
      <c r="D100" s="331"/>
      <c r="E100" s="307"/>
      <c r="F100" s="308"/>
      <c r="G100" s="308"/>
      <c r="H100" s="308"/>
      <c r="I100" s="308"/>
      <c r="J100" s="308"/>
      <c r="K100" s="308"/>
      <c r="L100" s="312">
        <f>+L39+L52+L71+L59+L98+L47+L66</f>
        <v>0</v>
      </c>
      <c r="M100" s="1299"/>
      <c r="N100" s="307"/>
      <c r="O100" s="308"/>
      <c r="P100" s="308"/>
      <c r="Q100" s="308"/>
      <c r="R100" s="308"/>
      <c r="S100" s="308"/>
      <c r="T100" s="308"/>
      <c r="U100" s="312">
        <f>+U39+U52+U71+U59+U98+U47+U66</f>
        <v>0</v>
      </c>
      <c r="V100" s="1227"/>
      <c r="W100" s="307"/>
      <c r="X100" s="308"/>
      <c r="Y100" s="308"/>
      <c r="Z100" s="308"/>
      <c r="AA100" s="308"/>
      <c r="AB100" s="308"/>
      <c r="AC100" s="308"/>
      <c r="AD100" s="312">
        <f>+AD39+AD52+AD71+AD59+AD98+AD47+AD66</f>
        <v>0</v>
      </c>
      <c r="AE100" s="1227"/>
      <c r="AF100" s="307"/>
      <c r="AG100" s="308"/>
      <c r="AH100" s="308"/>
      <c r="AI100" s="308"/>
      <c r="AJ100" s="308"/>
      <c r="AK100" s="308"/>
      <c r="AL100" s="308"/>
      <c r="AM100" s="312">
        <f>+AM39+AM52+AM71+AM59+AM98+AM47+AM66</f>
        <v>0</v>
      </c>
      <c r="AN100" s="1227"/>
      <c r="AO100" s="307"/>
      <c r="AP100" s="308"/>
      <c r="AQ100" s="308"/>
      <c r="AR100" s="308"/>
      <c r="AS100" s="308"/>
      <c r="AT100" s="308"/>
      <c r="AU100" s="308"/>
      <c r="AV100" s="312">
        <f>+AV39+AV52+AV71+AV59+AV98+AV47+AV66</f>
        <v>0</v>
      </c>
    </row>
    <row r="101" spans="1:48" ht="15.75" customHeight="1" thickBot="1">
      <c r="A101" s="1585"/>
      <c r="B101" s="1585"/>
      <c r="C101" s="1586"/>
      <c r="D101" s="331"/>
      <c r="E101" s="1229"/>
      <c r="F101" s="1230"/>
      <c r="G101" s="1230"/>
      <c r="H101" s="1230"/>
      <c r="I101" s="1230"/>
      <c r="J101" s="1230"/>
      <c r="K101" s="1230"/>
      <c r="L101" s="147"/>
      <c r="M101" s="1299"/>
      <c r="N101" s="1229"/>
      <c r="O101" s="1230"/>
      <c r="P101" s="1230"/>
      <c r="Q101" s="1230"/>
      <c r="R101" s="1230"/>
      <c r="S101" s="1230"/>
      <c r="T101" s="1230"/>
      <c r="U101" s="147"/>
      <c r="V101" s="1227"/>
      <c r="W101" s="1229"/>
      <c r="X101" s="1230"/>
      <c r="Y101" s="1230"/>
      <c r="Z101" s="1230"/>
      <c r="AA101" s="1230"/>
      <c r="AB101" s="1230"/>
      <c r="AC101" s="1230"/>
      <c r="AD101" s="147"/>
      <c r="AE101" s="1227"/>
      <c r="AF101" s="1229"/>
      <c r="AG101" s="1230"/>
      <c r="AH101" s="1230"/>
      <c r="AI101" s="1230"/>
      <c r="AJ101" s="1230"/>
      <c r="AK101" s="1230"/>
      <c r="AL101" s="1230"/>
      <c r="AM101" s="147"/>
      <c r="AN101" s="1227"/>
      <c r="AO101" s="1229"/>
      <c r="AP101" s="1230"/>
      <c r="AQ101" s="1230"/>
      <c r="AR101" s="1230"/>
      <c r="AS101" s="1230"/>
      <c r="AT101" s="1230"/>
      <c r="AU101" s="1230"/>
      <c r="AV101" s="147"/>
    </row>
    <row r="102" spans="1:48" ht="15.75" customHeight="1" thickBot="1">
      <c r="A102" s="1324" t="s">
        <v>305</v>
      </c>
      <c r="B102" s="1325"/>
      <c r="C102" s="1326"/>
      <c r="D102" s="331"/>
      <c r="E102" s="1601"/>
      <c r="F102" s="1602"/>
      <c r="G102" s="1602"/>
      <c r="H102" s="1602"/>
      <c r="I102" s="1602"/>
      <c r="J102" s="1602"/>
      <c r="K102" s="1603"/>
      <c r="L102" s="312">
        <f>L47+L52+L59+L66-K66</f>
        <v>0</v>
      </c>
      <c r="M102" s="1299"/>
      <c r="N102" s="1601"/>
      <c r="O102" s="1602"/>
      <c r="P102" s="1602"/>
      <c r="Q102" s="1602"/>
      <c r="R102" s="1602"/>
      <c r="S102" s="1602"/>
      <c r="T102" s="1603"/>
      <c r="U102" s="312">
        <f>U47+U52+U59+U66-T66</f>
        <v>0</v>
      </c>
      <c r="V102" s="1227"/>
      <c r="W102" s="1601"/>
      <c r="X102" s="1602"/>
      <c r="Y102" s="1602"/>
      <c r="Z102" s="1602"/>
      <c r="AA102" s="1602"/>
      <c r="AB102" s="1602"/>
      <c r="AC102" s="1603"/>
      <c r="AD102" s="312">
        <f>AD47+AD52+AD59+AD66-AC66</f>
        <v>0</v>
      </c>
      <c r="AE102" s="1227"/>
      <c r="AF102" s="1601"/>
      <c r="AG102" s="1602"/>
      <c r="AH102" s="1602"/>
      <c r="AI102" s="1602"/>
      <c r="AJ102" s="1602"/>
      <c r="AK102" s="1602"/>
      <c r="AL102" s="1603"/>
      <c r="AM102" s="312">
        <f>AM47+AM52+AM59+AM66-AL66</f>
        <v>0</v>
      </c>
      <c r="AN102" s="1227"/>
      <c r="AO102" s="1601"/>
      <c r="AP102" s="1602"/>
      <c r="AQ102" s="1602"/>
      <c r="AR102" s="1602"/>
      <c r="AS102" s="1602"/>
      <c r="AT102" s="1602"/>
      <c r="AU102" s="1603"/>
      <c r="AV102" s="312">
        <f>AV47+AV52+AV59+AV66-AU66</f>
        <v>0</v>
      </c>
    </row>
    <row r="103" spans="1:48" ht="15.75" customHeight="1" thickBot="1">
      <c r="A103" s="1585"/>
      <c r="B103" s="1585"/>
      <c r="C103" s="1586"/>
      <c r="D103" s="331"/>
      <c r="E103" s="1229"/>
      <c r="F103" s="1230"/>
      <c r="G103" s="1230"/>
      <c r="H103" s="1230"/>
      <c r="I103" s="1230"/>
      <c r="J103" s="1230"/>
      <c r="K103" s="1230"/>
      <c r="L103" s="147"/>
      <c r="M103" s="1299"/>
      <c r="N103" s="1229"/>
      <c r="O103" s="1230"/>
      <c r="P103" s="1230"/>
      <c r="Q103" s="1230"/>
      <c r="R103" s="1230"/>
      <c r="S103" s="1230"/>
      <c r="T103" s="1230"/>
      <c r="U103" s="147"/>
      <c r="V103" s="1227"/>
      <c r="W103" s="1229"/>
      <c r="X103" s="1230"/>
      <c r="Y103" s="1230"/>
      <c r="Z103" s="1230"/>
      <c r="AA103" s="1230"/>
      <c r="AB103" s="1230"/>
      <c r="AC103" s="1230"/>
      <c r="AD103" s="147"/>
      <c r="AE103" s="1227"/>
      <c r="AF103" s="1229"/>
      <c r="AG103" s="1230"/>
      <c r="AH103" s="1230"/>
      <c r="AI103" s="1230"/>
      <c r="AJ103" s="1230"/>
      <c r="AK103" s="1230"/>
      <c r="AL103" s="1230"/>
      <c r="AM103" s="147"/>
      <c r="AN103" s="1227"/>
      <c r="AO103" s="1229"/>
      <c r="AP103" s="1230"/>
      <c r="AQ103" s="1230"/>
      <c r="AR103" s="1230"/>
      <c r="AS103" s="1230"/>
      <c r="AT103" s="1230"/>
      <c r="AU103" s="1230"/>
      <c r="AV103" s="147"/>
    </row>
    <row r="104" spans="1:48" ht="15.75" customHeight="1" thickBot="1">
      <c r="A104" s="1329" t="s">
        <v>306</v>
      </c>
      <c r="B104" s="1330"/>
      <c r="C104" s="1331"/>
      <c r="D104" s="331"/>
      <c r="E104" s="160"/>
      <c r="F104" s="49" t="s">
        <v>219</v>
      </c>
      <c r="G104" s="50">
        <v>0</v>
      </c>
      <c r="H104" s="51"/>
      <c r="I104" s="52" t="s">
        <v>220</v>
      </c>
      <c r="J104" s="51">
        <f>L100-L102</f>
        <v>0</v>
      </c>
      <c r="K104" s="52"/>
      <c r="L104" s="148">
        <f>J104*G104</f>
        <v>0</v>
      </c>
      <c r="M104" s="1299"/>
      <c r="N104" s="160"/>
      <c r="O104" s="49" t="s">
        <v>219</v>
      </c>
      <c r="P104" s="50">
        <v>0</v>
      </c>
      <c r="Q104" s="51"/>
      <c r="R104" s="52" t="s">
        <v>220</v>
      </c>
      <c r="S104" s="51">
        <f>U100-U102</f>
        <v>0</v>
      </c>
      <c r="T104" s="52"/>
      <c r="U104" s="148">
        <f>S104*P104</f>
        <v>0</v>
      </c>
      <c r="V104" s="1227"/>
      <c r="W104" s="160"/>
      <c r="X104" s="49" t="s">
        <v>219</v>
      </c>
      <c r="Y104" s="50">
        <v>0</v>
      </c>
      <c r="Z104" s="51"/>
      <c r="AA104" s="52" t="s">
        <v>220</v>
      </c>
      <c r="AB104" s="51">
        <f>AD100-AD102</f>
        <v>0</v>
      </c>
      <c r="AC104" s="52"/>
      <c r="AD104" s="148">
        <f>AB104*Y104</f>
        <v>0</v>
      </c>
      <c r="AE104" s="1227"/>
      <c r="AF104" s="160"/>
      <c r="AG104" s="49" t="s">
        <v>219</v>
      </c>
      <c r="AH104" s="50">
        <v>0</v>
      </c>
      <c r="AI104" s="51"/>
      <c r="AJ104" s="52" t="s">
        <v>220</v>
      </c>
      <c r="AK104" s="51">
        <f>AM100-AM102</f>
        <v>0</v>
      </c>
      <c r="AL104" s="52"/>
      <c r="AM104" s="148">
        <f>AK104*AH104</f>
        <v>0</v>
      </c>
      <c r="AN104" s="1227"/>
      <c r="AO104" s="160"/>
      <c r="AP104" s="49" t="s">
        <v>219</v>
      </c>
      <c r="AQ104" s="50">
        <v>0</v>
      </c>
      <c r="AR104" s="51"/>
      <c r="AS104" s="52" t="s">
        <v>220</v>
      </c>
      <c r="AT104" s="51">
        <f>AV100-AV102</f>
        <v>0</v>
      </c>
      <c r="AU104" s="52"/>
      <c r="AV104" s="148">
        <f>AT104*AQ104</f>
        <v>0</v>
      </c>
    </row>
    <row r="105" spans="1:48" ht="15.75" customHeight="1" thickBot="1">
      <c r="A105" s="1604"/>
      <c r="B105" s="1585"/>
      <c r="C105" s="1586"/>
      <c r="D105" s="331"/>
      <c r="E105" s="1229"/>
      <c r="F105" s="1230"/>
      <c r="G105" s="1230"/>
      <c r="H105" s="1230"/>
      <c r="I105" s="1230"/>
      <c r="J105" s="1230"/>
      <c r="K105" s="1230"/>
      <c r="L105" s="147"/>
      <c r="M105" s="1299"/>
      <c r="N105" s="1229"/>
      <c r="O105" s="1230"/>
      <c r="P105" s="1230"/>
      <c r="Q105" s="1230"/>
      <c r="R105" s="1230"/>
      <c r="S105" s="1230"/>
      <c r="T105" s="1230"/>
      <c r="U105" s="147"/>
      <c r="V105" s="1227"/>
      <c r="W105" s="1229"/>
      <c r="X105" s="1230"/>
      <c r="Y105" s="1230"/>
      <c r="Z105" s="1230"/>
      <c r="AA105" s="1230"/>
      <c r="AB105" s="1230"/>
      <c r="AC105" s="1230"/>
      <c r="AD105" s="147"/>
      <c r="AE105" s="1227"/>
      <c r="AF105" s="1229"/>
      <c r="AG105" s="1230"/>
      <c r="AH105" s="1230"/>
      <c r="AI105" s="1230"/>
      <c r="AJ105" s="1230"/>
      <c r="AK105" s="1230"/>
      <c r="AL105" s="1230"/>
      <c r="AM105" s="147"/>
      <c r="AN105" s="1227"/>
      <c r="AO105" s="1229"/>
      <c r="AP105" s="1230"/>
      <c r="AQ105" s="1230"/>
      <c r="AR105" s="1230"/>
      <c r="AS105" s="1230"/>
      <c r="AT105" s="1230"/>
      <c r="AU105" s="1230"/>
      <c r="AV105" s="147"/>
    </row>
    <row r="106" spans="1:48" ht="15.75" customHeight="1" thickBot="1">
      <c r="A106" s="1324" t="s">
        <v>307</v>
      </c>
      <c r="B106" s="1325"/>
      <c r="C106" s="1326"/>
      <c r="D106" s="190"/>
      <c r="E106" s="307"/>
      <c r="F106" s="308"/>
      <c r="G106" s="308"/>
      <c r="H106" s="308"/>
      <c r="I106" s="308"/>
      <c r="J106" s="308"/>
      <c r="K106" s="310" t="s">
        <v>308</v>
      </c>
      <c r="L106" s="311">
        <f>+L100+L104</f>
        <v>0</v>
      </c>
      <c r="M106" s="1300"/>
      <c r="N106" s="307"/>
      <c r="O106" s="308"/>
      <c r="P106" s="308"/>
      <c r="Q106" s="308"/>
      <c r="R106" s="308"/>
      <c r="S106" s="308"/>
      <c r="T106" s="310" t="s">
        <v>309</v>
      </c>
      <c r="U106" s="311">
        <f>+U100+U104</f>
        <v>0</v>
      </c>
      <c r="V106" s="1228"/>
      <c r="W106" s="307"/>
      <c r="X106" s="308"/>
      <c r="Y106" s="308"/>
      <c r="Z106" s="308"/>
      <c r="AA106" s="308"/>
      <c r="AB106" s="308"/>
      <c r="AC106" s="310" t="s">
        <v>310</v>
      </c>
      <c r="AD106" s="311">
        <f>+AD100+AD104</f>
        <v>0</v>
      </c>
      <c r="AE106" s="1228"/>
      <c r="AF106" s="307"/>
      <c r="AG106" s="308"/>
      <c r="AH106" s="308"/>
      <c r="AI106" s="308"/>
      <c r="AJ106" s="308"/>
      <c r="AK106" s="308"/>
      <c r="AL106" s="310" t="s">
        <v>311</v>
      </c>
      <c r="AM106" s="311">
        <f>+AM100+AM104</f>
        <v>0</v>
      </c>
      <c r="AN106" s="1228"/>
      <c r="AO106" s="307"/>
      <c r="AP106" s="308"/>
      <c r="AQ106" s="308"/>
      <c r="AR106" s="308"/>
      <c r="AS106" s="308"/>
      <c r="AT106" s="308"/>
      <c r="AU106" s="310" t="s">
        <v>312</v>
      </c>
      <c r="AV106" s="311">
        <f>+AV100+AV104</f>
        <v>0</v>
      </c>
    </row>
    <row r="110" spans="1:48" ht="15" customHeight="1"/>
    <row r="111" spans="1:48" ht="30.75" customHeight="1"/>
    <row r="112" spans="1:48" ht="15" customHeight="1"/>
    <row r="127" ht="15" customHeight="1"/>
    <row r="215" ht="15" customHeight="1"/>
    <row r="221" ht="15" customHeight="1"/>
    <row r="303" ht="15" customHeight="1"/>
    <row r="309" ht="15" customHeight="1"/>
    <row r="391" ht="15" customHeight="1"/>
  </sheetData>
  <protectedRanges>
    <protectedRange sqref="K62:K65 T62:T65 AC62:AC65 AL62:AL65 AU62:AU65" name="Range1"/>
  </protectedRanges>
  <mergeCells count="764">
    <mergeCell ref="E102:K102"/>
    <mergeCell ref="N102:T102"/>
    <mergeCell ref="W102:AC102"/>
    <mergeCell ref="AF102:AL102"/>
    <mergeCell ref="AO102:AU102"/>
    <mergeCell ref="A66:C66"/>
    <mergeCell ref="E71:K71"/>
    <mergeCell ref="AF71:AL71"/>
    <mergeCell ref="AO71:AU71"/>
    <mergeCell ref="N71:T71"/>
    <mergeCell ref="W71:AC71"/>
    <mergeCell ref="E69:F69"/>
    <mergeCell ref="P70:T70"/>
    <mergeCell ref="W70:X70"/>
    <mergeCell ref="Y70:AC70"/>
    <mergeCell ref="AF70:AG70"/>
    <mergeCell ref="E66:J66"/>
    <mergeCell ref="AO67:AV67"/>
    <mergeCell ref="A73:C73"/>
    <mergeCell ref="A92:C92"/>
    <mergeCell ref="A69:C69"/>
    <mergeCell ref="A70:C70"/>
    <mergeCell ref="A71:C71"/>
    <mergeCell ref="W96:X96"/>
    <mergeCell ref="E101:K101"/>
    <mergeCell ref="N101:T101"/>
    <mergeCell ref="W101:AC101"/>
    <mergeCell ref="AF101:AL101"/>
    <mergeCell ref="AO101:AU101"/>
    <mergeCell ref="E62:F62"/>
    <mergeCell ref="N62:O62"/>
    <mergeCell ref="W62:X62"/>
    <mergeCell ref="AF62:AG62"/>
    <mergeCell ref="E65:F65"/>
    <mergeCell ref="N65:O65"/>
    <mergeCell ref="W65:X65"/>
    <mergeCell ref="AF65:AG65"/>
    <mergeCell ref="E64:F64"/>
    <mergeCell ref="N64:O64"/>
    <mergeCell ref="AF64:AG64"/>
    <mergeCell ref="Y62:AB62"/>
    <mergeCell ref="Y63:AB63"/>
    <mergeCell ref="Y64:AB64"/>
    <mergeCell ref="Y65:AB65"/>
    <mergeCell ref="G62:J62"/>
    <mergeCell ref="G63:J63"/>
    <mergeCell ref="G64:J64"/>
    <mergeCell ref="G65:J65"/>
    <mergeCell ref="N20:O20"/>
    <mergeCell ref="E20:F20"/>
    <mergeCell ref="N21:O21"/>
    <mergeCell ref="N22:O22"/>
    <mergeCell ref="N41:T41"/>
    <mergeCell ref="A20:B20"/>
    <mergeCell ref="A21:B21"/>
    <mergeCell ref="A22:B22"/>
    <mergeCell ref="A29:B29"/>
    <mergeCell ref="A30:B30"/>
    <mergeCell ref="A31:B31"/>
    <mergeCell ref="A32:B32"/>
    <mergeCell ref="A23:C23"/>
    <mergeCell ref="A27:C27"/>
    <mergeCell ref="A28:C28"/>
    <mergeCell ref="A33:B33"/>
    <mergeCell ref="A34:B34"/>
    <mergeCell ref="A35:B35"/>
    <mergeCell ref="A36:B36"/>
    <mergeCell ref="A24:B24"/>
    <mergeCell ref="A25:B25"/>
    <mergeCell ref="A26:B26"/>
    <mergeCell ref="N31:O31"/>
    <mergeCell ref="E33:F33"/>
    <mergeCell ref="A37:C37"/>
    <mergeCell ref="A38:C38"/>
    <mergeCell ref="A39:C39"/>
    <mergeCell ref="A40:C40"/>
    <mergeCell ref="A41:C41"/>
    <mergeCell ref="W43:X43"/>
    <mergeCell ref="Y43:AD43"/>
    <mergeCell ref="E45:F45"/>
    <mergeCell ref="G45:K45"/>
    <mergeCell ref="N45:O45"/>
    <mergeCell ref="P45:T45"/>
    <mergeCell ref="A42:C42"/>
    <mergeCell ref="E42:L42"/>
    <mergeCell ref="N38:U38"/>
    <mergeCell ref="N40:U40"/>
    <mergeCell ref="W45:X45"/>
    <mergeCell ref="Y45:AC45"/>
    <mergeCell ref="E44:F44"/>
    <mergeCell ref="W44:X44"/>
    <mergeCell ref="Y44:AC44"/>
    <mergeCell ref="W38:AD38"/>
    <mergeCell ref="W40:AD40"/>
    <mergeCell ref="N33:O33"/>
    <mergeCell ref="E32:F32"/>
    <mergeCell ref="E31:F31"/>
    <mergeCell ref="E38:L38"/>
    <mergeCell ref="E40:L40"/>
    <mergeCell ref="A72:C72"/>
    <mergeCell ref="AO72:AV72"/>
    <mergeCell ref="AF53:AM53"/>
    <mergeCell ref="AF42:AM42"/>
    <mergeCell ref="AF72:AM72"/>
    <mergeCell ref="W72:AD72"/>
    <mergeCell ref="W42:AD42"/>
    <mergeCell ref="W53:AD53"/>
    <mergeCell ref="N72:U72"/>
    <mergeCell ref="N42:U42"/>
    <mergeCell ref="N53:U53"/>
    <mergeCell ref="AO44:AP44"/>
    <mergeCell ref="AQ44:AU44"/>
    <mergeCell ref="A47:C47"/>
    <mergeCell ref="E47:K47"/>
    <mergeCell ref="N47:T47"/>
    <mergeCell ref="AO70:AP70"/>
    <mergeCell ref="AQ70:AU70"/>
    <mergeCell ref="AO42:AV42"/>
    <mergeCell ref="P58:T58"/>
    <mergeCell ref="P57:T57"/>
    <mergeCell ref="AQ50:AU50"/>
    <mergeCell ref="AF49:AG49"/>
    <mergeCell ref="AO54:AP54"/>
    <mergeCell ref="AQ57:AU57"/>
    <mergeCell ref="AO48:AV48"/>
    <mergeCell ref="AO53:AV53"/>
    <mergeCell ref="W49:X49"/>
    <mergeCell ref="Y49:AD49"/>
    <mergeCell ref="W50:X50"/>
    <mergeCell ref="Y50:AC50"/>
    <mergeCell ref="W51:X51"/>
    <mergeCell ref="Y51:AC51"/>
    <mergeCell ref="AO49:AP49"/>
    <mergeCell ref="AQ49:AV49"/>
    <mergeCell ref="AO50:AP50"/>
    <mergeCell ref="AF51:AG51"/>
    <mergeCell ref="AH51:AL51"/>
    <mergeCell ref="AO59:AU59"/>
    <mergeCell ref="AO58:AP58"/>
    <mergeCell ref="AQ58:AU58"/>
    <mergeCell ref="W54:X54"/>
    <mergeCell ref="AO56:AP56"/>
    <mergeCell ref="AQ54:AV54"/>
    <mergeCell ref="AO55:AP55"/>
    <mergeCell ref="AF50:AG50"/>
    <mergeCell ref="AH50:AL50"/>
    <mergeCell ref="N51:O51"/>
    <mergeCell ref="P51:T51"/>
    <mergeCell ref="AO51:AP51"/>
    <mergeCell ref="AF48:AM48"/>
    <mergeCell ref="AQ51:AU51"/>
    <mergeCell ref="AQ56:AU56"/>
    <mergeCell ref="AO57:AP57"/>
    <mergeCell ref="AF45:AG45"/>
    <mergeCell ref="N54:O54"/>
    <mergeCell ref="W46:X46"/>
    <mergeCell ref="Y46:AC46"/>
    <mergeCell ref="N46:O46"/>
    <mergeCell ref="P46:T46"/>
    <mergeCell ref="E63:F63"/>
    <mergeCell ref="N63:O63"/>
    <mergeCell ref="AF63:AG63"/>
    <mergeCell ref="A68:C68"/>
    <mergeCell ref="Y69:AC69"/>
    <mergeCell ref="W94:X94"/>
    <mergeCell ref="Y94:AC94"/>
    <mergeCell ref="W95:X95"/>
    <mergeCell ref="Y95:AC95"/>
    <mergeCell ref="N68:O68"/>
    <mergeCell ref="P68:U68"/>
    <mergeCell ref="N69:O69"/>
    <mergeCell ref="W67:AD67"/>
    <mergeCell ref="W63:X63"/>
    <mergeCell ref="W66:AB66"/>
    <mergeCell ref="W64:X64"/>
    <mergeCell ref="W68:X68"/>
    <mergeCell ref="Y68:AD68"/>
    <mergeCell ref="W69:X69"/>
    <mergeCell ref="P63:S63"/>
    <mergeCell ref="P64:S64"/>
    <mergeCell ref="P65:S65"/>
    <mergeCell ref="W92:X92"/>
    <mergeCell ref="Y92:AC92"/>
    <mergeCell ref="E60:L60"/>
    <mergeCell ref="N60:U60"/>
    <mergeCell ref="AF60:AM60"/>
    <mergeCell ref="A61:C61"/>
    <mergeCell ref="E61:F61"/>
    <mergeCell ref="G61:L61"/>
    <mergeCell ref="N61:O61"/>
    <mergeCell ref="P61:U61"/>
    <mergeCell ref="AF61:AG61"/>
    <mergeCell ref="AH61:AM61"/>
    <mergeCell ref="W60:AD60"/>
    <mergeCell ref="W61:X61"/>
    <mergeCell ref="Y61:AD61"/>
    <mergeCell ref="A105:C105"/>
    <mergeCell ref="A106:C106"/>
    <mergeCell ref="A93:C93"/>
    <mergeCell ref="A94:C94"/>
    <mergeCell ref="A95:C95"/>
    <mergeCell ref="A96:C96"/>
    <mergeCell ref="A97:C97"/>
    <mergeCell ref="A98:C98"/>
    <mergeCell ref="A99:C99"/>
    <mergeCell ref="A100:C100"/>
    <mergeCell ref="A103:C103"/>
    <mergeCell ref="A104:C104"/>
    <mergeCell ref="A102:C102"/>
    <mergeCell ref="A101:C101"/>
    <mergeCell ref="A54:C54"/>
    <mergeCell ref="A55:C55"/>
    <mergeCell ref="A56:C56"/>
    <mergeCell ref="A57:C57"/>
    <mergeCell ref="A43:C43"/>
    <mergeCell ref="A67:C67"/>
    <mergeCell ref="A48:C48"/>
    <mergeCell ref="A50:C50"/>
    <mergeCell ref="A46:C46"/>
    <mergeCell ref="A62:C62"/>
    <mergeCell ref="A65:C65"/>
    <mergeCell ref="A64:C64"/>
    <mergeCell ref="A45:C45"/>
    <mergeCell ref="A49:C49"/>
    <mergeCell ref="A51:C51"/>
    <mergeCell ref="A52:C52"/>
    <mergeCell ref="A53:C53"/>
    <mergeCell ref="A58:C58"/>
    <mergeCell ref="A59:C59"/>
    <mergeCell ref="A44:C44"/>
    <mergeCell ref="A60:C60"/>
    <mergeCell ref="A63:C63"/>
    <mergeCell ref="A19:C19"/>
    <mergeCell ref="E4:L4"/>
    <mergeCell ref="N4:U4"/>
    <mergeCell ref="E5:F5"/>
    <mergeCell ref="E6:F6"/>
    <mergeCell ref="E7:F7"/>
    <mergeCell ref="E8:F8"/>
    <mergeCell ref="E9:F9"/>
    <mergeCell ref="E10:F10"/>
    <mergeCell ref="E11:F11"/>
    <mergeCell ref="E12:F12"/>
    <mergeCell ref="E13:F13"/>
    <mergeCell ref="E14:F14"/>
    <mergeCell ref="N5:O5"/>
    <mergeCell ref="N6:O6"/>
    <mergeCell ref="N7:O7"/>
    <mergeCell ref="N8:O8"/>
    <mergeCell ref="N9:O9"/>
    <mergeCell ref="N19:U19"/>
    <mergeCell ref="E17:F17"/>
    <mergeCell ref="W4:AD4"/>
    <mergeCell ref="N10:O10"/>
    <mergeCell ref="N11:O11"/>
    <mergeCell ref="W5:X5"/>
    <mergeCell ref="W6:X6"/>
    <mergeCell ref="W7:X7"/>
    <mergeCell ref="W12:X12"/>
    <mergeCell ref="W13:X13"/>
    <mergeCell ref="W14:X14"/>
    <mergeCell ref="N12:O12"/>
    <mergeCell ref="N13:O13"/>
    <mergeCell ref="N14:O14"/>
    <mergeCell ref="A2:C3"/>
    <mergeCell ref="A4:C4"/>
    <mergeCell ref="A18:C18"/>
    <mergeCell ref="E2:L3"/>
    <mergeCell ref="N2:U3"/>
    <mergeCell ref="N15:O15"/>
    <mergeCell ref="N16:O16"/>
    <mergeCell ref="N17:O17"/>
    <mergeCell ref="E15:F15"/>
    <mergeCell ref="E16:F16"/>
    <mergeCell ref="E21:F21"/>
    <mergeCell ref="E30:F30"/>
    <mergeCell ref="N28:U28"/>
    <mergeCell ref="E23:L23"/>
    <mergeCell ref="E28:L28"/>
    <mergeCell ref="W23:AD23"/>
    <mergeCell ref="W28:AD28"/>
    <mergeCell ref="N29:O29"/>
    <mergeCell ref="N30:O30"/>
    <mergeCell ref="E22:F22"/>
    <mergeCell ref="E29:F29"/>
    <mergeCell ref="V2:V106"/>
    <mergeCell ref="E99:K99"/>
    <mergeCell ref="E105:K105"/>
    <mergeCell ref="N99:T99"/>
    <mergeCell ref="N105:T105"/>
    <mergeCell ref="E103:K103"/>
    <mergeCell ref="N103:T103"/>
    <mergeCell ref="M2:M106"/>
    <mergeCell ref="W21:X21"/>
    <mergeCell ref="W20:X20"/>
    <mergeCell ref="Y58:AC58"/>
    <mergeCell ref="W73:X73"/>
    <mergeCell ref="Y73:AD73"/>
    <mergeCell ref="W32:X32"/>
    <mergeCell ref="W31:X31"/>
    <mergeCell ref="AO30:AP30"/>
    <mergeCell ref="AO31:AP31"/>
    <mergeCell ref="AO32:AP32"/>
    <mergeCell ref="W29:X29"/>
    <mergeCell ref="AF40:AM40"/>
    <mergeCell ref="W103:AC103"/>
    <mergeCell ref="W2:AD3"/>
    <mergeCell ref="AF2:AM3"/>
    <mergeCell ref="W33:X33"/>
    <mergeCell ref="W17:X17"/>
    <mergeCell ref="AF31:AG31"/>
    <mergeCell ref="AF32:AG32"/>
    <mergeCell ref="AF33:AG33"/>
    <mergeCell ref="W48:AD48"/>
    <mergeCell ref="W30:X30"/>
    <mergeCell ref="W8:X8"/>
    <mergeCell ref="W9:X9"/>
    <mergeCell ref="W10:X10"/>
    <mergeCell ref="W11:X11"/>
    <mergeCell ref="W19:AD19"/>
    <mergeCell ref="W47:AC47"/>
    <mergeCell ref="AF47:AL47"/>
    <mergeCell ref="AH64:AK64"/>
    <mergeCell ref="AF54:AG54"/>
    <mergeCell ref="AH54:AM54"/>
    <mergeCell ref="AF55:AG55"/>
    <mergeCell ref="AH55:AL55"/>
    <mergeCell ref="AF56:AG56"/>
    <mergeCell ref="AH56:AL56"/>
    <mergeCell ref="AF57:AG57"/>
    <mergeCell ref="AF15:AG15"/>
    <mergeCell ref="AH45:AL45"/>
    <mergeCell ref="AF17:AG17"/>
    <mergeCell ref="AF98:AL98"/>
    <mergeCell ref="AF105:AL105"/>
    <mergeCell ref="AF38:AM38"/>
    <mergeCell ref="AO33:AP33"/>
    <mergeCell ref="AO69:AP69"/>
    <mergeCell ref="AO98:AU98"/>
    <mergeCell ref="AF73:AG73"/>
    <mergeCell ref="AH73:AM73"/>
    <mergeCell ref="AF92:AG92"/>
    <mergeCell ref="AH46:AL46"/>
    <mergeCell ref="AQ73:AV73"/>
    <mergeCell ref="AO66:AT66"/>
    <mergeCell ref="AH77:AL77"/>
    <mergeCell ref="AH78:AL78"/>
    <mergeCell ref="AF88:AG88"/>
    <mergeCell ref="AH88:AL88"/>
    <mergeCell ref="AH79:AL79"/>
    <mergeCell ref="AF80:AG80"/>
    <mergeCell ref="AH80:AL80"/>
    <mergeCell ref="AF81:AG81"/>
    <mergeCell ref="AH81:AL81"/>
    <mergeCell ref="AF82:AG82"/>
    <mergeCell ref="AH82:AL82"/>
    <mergeCell ref="AF99:AL99"/>
    <mergeCell ref="AO95:AP95"/>
    <mergeCell ref="AQ95:AU95"/>
    <mergeCell ref="AO84:AP84"/>
    <mergeCell ref="AQ84:AU84"/>
    <mergeCell ref="AO85:AP85"/>
    <mergeCell ref="AO43:AP43"/>
    <mergeCell ref="AF44:AG44"/>
    <mergeCell ref="AH44:AL44"/>
    <mergeCell ref="AF46:AG46"/>
    <mergeCell ref="AO47:AU47"/>
    <mergeCell ref="AQ69:AU69"/>
    <mergeCell ref="AO60:AV60"/>
    <mergeCell ref="AO61:AP61"/>
    <mergeCell ref="AO93:AP93"/>
    <mergeCell ref="AQ93:AU93"/>
    <mergeCell ref="AQ83:AU83"/>
    <mergeCell ref="AQ55:AU55"/>
    <mergeCell ref="AO73:AP73"/>
    <mergeCell ref="AH76:AL76"/>
    <mergeCell ref="AQ85:AU85"/>
    <mergeCell ref="AO86:AP86"/>
    <mergeCell ref="AQ86:AU86"/>
    <mergeCell ref="AO87:AP87"/>
    <mergeCell ref="AQ87:AU87"/>
    <mergeCell ref="AF4:AM4"/>
    <mergeCell ref="AO4:AV4"/>
    <mergeCell ref="AQ61:AV61"/>
    <mergeCell ref="AO63:AP63"/>
    <mergeCell ref="AQ62:AT62"/>
    <mergeCell ref="AQ63:AT63"/>
    <mergeCell ref="AO65:AP65"/>
    <mergeCell ref="AQ64:AT64"/>
    <mergeCell ref="AQ65:AT65"/>
    <mergeCell ref="AO64:AP64"/>
    <mergeCell ref="AO62:AP62"/>
    <mergeCell ref="AF21:AG21"/>
    <mergeCell ref="AH49:AM49"/>
    <mergeCell ref="AF16:AG16"/>
    <mergeCell ref="AF28:AM28"/>
    <mergeCell ref="AO28:AV28"/>
    <mergeCell ref="AF43:AG43"/>
    <mergeCell ref="AH43:AM43"/>
    <mergeCell ref="AF22:AG22"/>
    <mergeCell ref="AF29:AG29"/>
    <mergeCell ref="AF30:AG30"/>
    <mergeCell ref="AF59:AL59"/>
    <mergeCell ref="AH65:AK65"/>
    <mergeCell ref="AH62:AK62"/>
    <mergeCell ref="AO94:AP94"/>
    <mergeCell ref="AQ94:AU94"/>
    <mergeCell ref="AO21:AP21"/>
    <mergeCell ref="AO22:AP22"/>
    <mergeCell ref="AO20:AP20"/>
    <mergeCell ref="AO19:AV19"/>
    <mergeCell ref="AF20:AG20"/>
    <mergeCell ref="AQ43:AV43"/>
    <mergeCell ref="AO68:AP68"/>
    <mergeCell ref="AQ45:AU45"/>
    <mergeCell ref="AQ68:AV68"/>
    <mergeCell ref="AF68:AG68"/>
    <mergeCell ref="AH68:AM68"/>
    <mergeCell ref="AF69:AG69"/>
    <mergeCell ref="AH69:AL69"/>
    <mergeCell ref="AO88:AP88"/>
    <mergeCell ref="AQ88:AU88"/>
    <mergeCell ref="AO89:AP89"/>
    <mergeCell ref="AQ89:AU89"/>
    <mergeCell ref="AO90:AP90"/>
    <mergeCell ref="AQ90:AU90"/>
    <mergeCell ref="AH74:AL74"/>
    <mergeCell ref="AH75:AL75"/>
    <mergeCell ref="AH70:AL70"/>
    <mergeCell ref="N74:O74"/>
    <mergeCell ref="P74:T74"/>
    <mergeCell ref="AF9:AG9"/>
    <mergeCell ref="AF10:AG10"/>
    <mergeCell ref="AF11:AG11"/>
    <mergeCell ref="AO10:AP10"/>
    <mergeCell ref="AO11:AP11"/>
    <mergeCell ref="AO13:AP13"/>
    <mergeCell ref="AO14:AP14"/>
    <mergeCell ref="AF19:AM19"/>
    <mergeCell ref="AO29:AP29"/>
    <mergeCell ref="AO15:AP15"/>
    <mergeCell ref="AO17:AP17"/>
    <mergeCell ref="AO23:AV23"/>
    <mergeCell ref="AF23:AM23"/>
    <mergeCell ref="AF12:AG12"/>
    <mergeCell ref="AF13:AG13"/>
    <mergeCell ref="AF14:AG14"/>
    <mergeCell ref="AO16:AP16"/>
    <mergeCell ref="AN2:AN106"/>
    <mergeCell ref="AO38:AV38"/>
    <mergeCell ref="AO92:AP92"/>
    <mergeCell ref="AQ92:AU92"/>
    <mergeCell ref="AO2:AV3"/>
    <mergeCell ref="E53:L53"/>
    <mergeCell ref="E95:F95"/>
    <mergeCell ref="G94:K94"/>
    <mergeCell ref="W97:X97"/>
    <mergeCell ref="Y97:AC97"/>
    <mergeCell ref="W98:AC98"/>
    <mergeCell ref="P50:T50"/>
    <mergeCell ref="P62:S62"/>
    <mergeCell ref="W58:X58"/>
    <mergeCell ref="Y54:AD54"/>
    <mergeCell ref="W55:X55"/>
    <mergeCell ref="Y55:AC55"/>
    <mergeCell ref="W56:X56"/>
    <mergeCell ref="Y56:AC56"/>
    <mergeCell ref="P73:U73"/>
    <mergeCell ref="N92:O92"/>
    <mergeCell ref="W57:X57"/>
    <mergeCell ref="Y57:AC57"/>
    <mergeCell ref="P54:U54"/>
    <mergeCell ref="N59:T59"/>
    <mergeCell ref="N55:O55"/>
    <mergeCell ref="P55:T55"/>
    <mergeCell ref="N56:O56"/>
    <mergeCell ref="P56:T56"/>
    <mergeCell ref="E98:K98"/>
    <mergeCell ref="N98:T98"/>
    <mergeCell ref="W59:AC59"/>
    <mergeCell ref="E57:F57"/>
    <mergeCell ref="G57:K57"/>
    <mergeCell ref="E58:F58"/>
    <mergeCell ref="G58:K58"/>
    <mergeCell ref="AH92:AL92"/>
    <mergeCell ref="AF93:AG93"/>
    <mergeCell ref="AH93:AL93"/>
    <mergeCell ref="AF94:AG94"/>
    <mergeCell ref="AH94:AL94"/>
    <mergeCell ref="AF95:AG95"/>
    <mergeCell ref="AH95:AL95"/>
    <mergeCell ref="AF96:AG96"/>
    <mergeCell ref="AH96:AL96"/>
    <mergeCell ref="AF97:AG97"/>
    <mergeCell ref="E94:F94"/>
    <mergeCell ref="AH57:AL57"/>
    <mergeCell ref="AF58:AG58"/>
    <mergeCell ref="AH58:AL58"/>
    <mergeCell ref="N57:O57"/>
    <mergeCell ref="N58:O58"/>
    <mergeCell ref="P92:T92"/>
    <mergeCell ref="AO5:AP5"/>
    <mergeCell ref="AO6:AP6"/>
    <mergeCell ref="AO7:AP7"/>
    <mergeCell ref="AO8:AP8"/>
    <mergeCell ref="AO9:AP9"/>
    <mergeCell ref="AF5:AG5"/>
    <mergeCell ref="AF6:AG6"/>
    <mergeCell ref="AO46:AP46"/>
    <mergeCell ref="AF7:AG7"/>
    <mergeCell ref="AF8:AG8"/>
    <mergeCell ref="AO40:AV40"/>
    <mergeCell ref="AQ46:AU46"/>
    <mergeCell ref="AO12:AP12"/>
    <mergeCell ref="AO45:AP45"/>
    <mergeCell ref="N32:O32"/>
    <mergeCell ref="E54:F54"/>
    <mergeCell ref="G54:L54"/>
    <mergeCell ref="E55:F55"/>
    <mergeCell ref="G55:K55"/>
    <mergeCell ref="E56:F56"/>
    <mergeCell ref="G56:K56"/>
    <mergeCell ref="E48:L48"/>
    <mergeCell ref="N48:U48"/>
    <mergeCell ref="E43:F43"/>
    <mergeCell ref="G43:L43"/>
    <mergeCell ref="N43:O43"/>
    <mergeCell ref="P43:U43"/>
    <mergeCell ref="G44:K44"/>
    <mergeCell ref="N44:O44"/>
    <mergeCell ref="P44:T44"/>
    <mergeCell ref="E46:F46"/>
    <mergeCell ref="G46:K46"/>
    <mergeCell ref="P49:U49"/>
    <mergeCell ref="N50:O50"/>
    <mergeCell ref="G49:L49"/>
    <mergeCell ref="E49:F49"/>
    <mergeCell ref="G51:K51"/>
    <mergeCell ref="E50:F50"/>
    <mergeCell ref="G95:K95"/>
    <mergeCell ref="N49:O49"/>
    <mergeCell ref="N66:S66"/>
    <mergeCell ref="G68:L68"/>
    <mergeCell ref="G69:K69"/>
    <mergeCell ref="E70:F70"/>
    <mergeCell ref="G70:K70"/>
    <mergeCell ref="E72:L72"/>
    <mergeCell ref="N70:O70"/>
    <mergeCell ref="E67:L67"/>
    <mergeCell ref="N67:U67"/>
    <mergeCell ref="P69:T69"/>
    <mergeCell ref="G50:K50"/>
    <mergeCell ref="E73:F73"/>
    <mergeCell ref="G73:L73"/>
    <mergeCell ref="E92:F92"/>
    <mergeCell ref="G92:K92"/>
    <mergeCell ref="E93:F93"/>
    <mergeCell ref="G93:K93"/>
    <mergeCell ref="N73:O73"/>
    <mergeCell ref="E51:F51"/>
    <mergeCell ref="E68:F68"/>
    <mergeCell ref="E59:K59"/>
    <mergeCell ref="N93:O93"/>
    <mergeCell ref="P93:T93"/>
    <mergeCell ref="N94:O94"/>
    <mergeCell ref="P94:T94"/>
    <mergeCell ref="N95:O95"/>
    <mergeCell ref="P95:T95"/>
    <mergeCell ref="N96:O96"/>
    <mergeCell ref="P96:T96"/>
    <mergeCell ref="Y96:AC96"/>
    <mergeCell ref="W93:X93"/>
    <mergeCell ref="Y93:AC93"/>
    <mergeCell ref="E96:F96"/>
    <mergeCell ref="G96:K96"/>
    <mergeCell ref="E97:F97"/>
    <mergeCell ref="G97:K97"/>
    <mergeCell ref="N97:O97"/>
    <mergeCell ref="P97:T97"/>
    <mergeCell ref="AO96:AP96"/>
    <mergeCell ref="AQ96:AU96"/>
    <mergeCell ref="AO97:AP97"/>
    <mergeCell ref="AQ97:AU97"/>
    <mergeCell ref="AH97:AL97"/>
    <mergeCell ref="AE2:AE106"/>
    <mergeCell ref="W105:AC105"/>
    <mergeCell ref="W99:AC99"/>
    <mergeCell ref="AF103:AL103"/>
    <mergeCell ref="AO103:AU103"/>
    <mergeCell ref="AO99:AU99"/>
    <mergeCell ref="AO105:AU105"/>
    <mergeCell ref="W22:X22"/>
    <mergeCell ref="W15:X15"/>
    <mergeCell ref="W16:X16"/>
    <mergeCell ref="AF67:AM67"/>
    <mergeCell ref="AF66:AK66"/>
    <mergeCell ref="AH63:AK6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E74:F74"/>
    <mergeCell ref="E75:F75"/>
    <mergeCell ref="E76:F76"/>
    <mergeCell ref="E77:F77"/>
    <mergeCell ref="E78:F78"/>
    <mergeCell ref="E79:F79"/>
    <mergeCell ref="E80:F80"/>
    <mergeCell ref="E81:F81"/>
    <mergeCell ref="E82:F82"/>
    <mergeCell ref="E83:F83"/>
    <mergeCell ref="E84:F84"/>
    <mergeCell ref="E85:F85"/>
    <mergeCell ref="E86:F86"/>
    <mergeCell ref="E87:F87"/>
    <mergeCell ref="E88:F88"/>
    <mergeCell ref="E89:F89"/>
    <mergeCell ref="E90:F90"/>
    <mergeCell ref="E91:F91"/>
    <mergeCell ref="G74:K74"/>
    <mergeCell ref="G75:K75"/>
    <mergeCell ref="G76:K76"/>
    <mergeCell ref="G77:K77"/>
    <mergeCell ref="G78:K78"/>
    <mergeCell ref="G79:K79"/>
    <mergeCell ref="G80:K80"/>
    <mergeCell ref="G81:K81"/>
    <mergeCell ref="G82:K82"/>
    <mergeCell ref="G83:K83"/>
    <mergeCell ref="G84:K84"/>
    <mergeCell ref="G85:K85"/>
    <mergeCell ref="G86:K86"/>
    <mergeCell ref="G87:K87"/>
    <mergeCell ref="G88:K88"/>
    <mergeCell ref="G89:K89"/>
    <mergeCell ref="G90:K90"/>
    <mergeCell ref="G91:K91"/>
    <mergeCell ref="N75:O75"/>
    <mergeCell ref="P75:T75"/>
    <mergeCell ref="N76:O76"/>
    <mergeCell ref="P76:T76"/>
    <mergeCell ref="N77:O77"/>
    <mergeCell ref="P77:T77"/>
    <mergeCell ref="N78:O78"/>
    <mergeCell ref="P78:T78"/>
    <mergeCell ref="N79:O79"/>
    <mergeCell ref="P79:T79"/>
    <mergeCell ref="N80:O80"/>
    <mergeCell ref="P80:T80"/>
    <mergeCell ref="N81:O81"/>
    <mergeCell ref="P81:T81"/>
    <mergeCell ref="N82:O82"/>
    <mergeCell ref="P82:T82"/>
    <mergeCell ref="N83:O83"/>
    <mergeCell ref="P83:T83"/>
    <mergeCell ref="N84:O84"/>
    <mergeCell ref="P84:T84"/>
    <mergeCell ref="N85:O85"/>
    <mergeCell ref="P85:T85"/>
    <mergeCell ref="N86:O86"/>
    <mergeCell ref="P86:T86"/>
    <mergeCell ref="N87:O87"/>
    <mergeCell ref="P87:T87"/>
    <mergeCell ref="N88:O88"/>
    <mergeCell ref="P88:T88"/>
    <mergeCell ref="N89:O89"/>
    <mergeCell ref="P89:T89"/>
    <mergeCell ref="N90:O90"/>
    <mergeCell ref="P90:T90"/>
    <mergeCell ref="N91:O91"/>
    <mergeCell ref="P91:T91"/>
    <mergeCell ref="W74:X74"/>
    <mergeCell ref="Y74:AC74"/>
    <mergeCell ref="W75:X75"/>
    <mergeCell ref="Y75:AC75"/>
    <mergeCell ref="W76:X76"/>
    <mergeCell ref="Y76:AC76"/>
    <mergeCell ref="W77:X77"/>
    <mergeCell ref="Y77:AC77"/>
    <mergeCell ref="W78:X78"/>
    <mergeCell ref="Y78:AC78"/>
    <mergeCell ref="W79:X79"/>
    <mergeCell ref="Y79:AC79"/>
    <mergeCell ref="W80:X80"/>
    <mergeCell ref="Y80:AC80"/>
    <mergeCell ref="W81:X81"/>
    <mergeCell ref="Y81:AC81"/>
    <mergeCell ref="W82:X82"/>
    <mergeCell ref="Y82:AC82"/>
    <mergeCell ref="W88:X88"/>
    <mergeCell ref="Y88:AC88"/>
    <mergeCell ref="W89:X89"/>
    <mergeCell ref="Y89:AC89"/>
    <mergeCell ref="W90:X90"/>
    <mergeCell ref="Y90:AC90"/>
    <mergeCell ref="W91:X91"/>
    <mergeCell ref="Y91:AC91"/>
    <mergeCell ref="AF74:AG74"/>
    <mergeCell ref="AF79:AG79"/>
    <mergeCell ref="AF84:AG84"/>
    <mergeCell ref="AF89:AG89"/>
    <mergeCell ref="W83:X83"/>
    <mergeCell ref="Y83:AC83"/>
    <mergeCell ref="W84:X84"/>
    <mergeCell ref="Y84:AC84"/>
    <mergeCell ref="W85:X85"/>
    <mergeCell ref="Y85:AC85"/>
    <mergeCell ref="W86:X86"/>
    <mergeCell ref="Y86:AC86"/>
    <mergeCell ref="W87:X87"/>
    <mergeCell ref="Y87:AC87"/>
    <mergeCell ref="AF75:AG75"/>
    <mergeCell ref="AF76:AG76"/>
    <mergeCell ref="AF77:AG77"/>
    <mergeCell ref="AF78:AG78"/>
    <mergeCell ref="AF83:AG83"/>
    <mergeCell ref="AH83:AL83"/>
    <mergeCell ref="AQ82:AU82"/>
    <mergeCell ref="AO83:AP83"/>
    <mergeCell ref="AH84:AL84"/>
    <mergeCell ref="AF85:AG85"/>
    <mergeCell ref="AH85:AL85"/>
    <mergeCell ref="AF86:AG86"/>
    <mergeCell ref="AH86:AL86"/>
    <mergeCell ref="AF87:AG87"/>
    <mergeCell ref="AH87:AL87"/>
    <mergeCell ref="AO91:AP91"/>
    <mergeCell ref="AQ91:AU91"/>
    <mergeCell ref="AH89:AL89"/>
    <mergeCell ref="AF90:AG90"/>
    <mergeCell ref="AH90:AL90"/>
    <mergeCell ref="AF91:AG91"/>
    <mergeCell ref="AH91:AL91"/>
    <mergeCell ref="AO79:AP79"/>
    <mergeCell ref="AQ79:AU79"/>
    <mergeCell ref="AO80:AP80"/>
    <mergeCell ref="AQ80:AU80"/>
    <mergeCell ref="AO81:AP81"/>
    <mergeCell ref="AQ81:AU81"/>
    <mergeCell ref="AO82:AP82"/>
    <mergeCell ref="AO74:AP74"/>
    <mergeCell ref="AQ74:AU74"/>
    <mergeCell ref="AO75:AP75"/>
    <mergeCell ref="AQ75:AU75"/>
    <mergeCell ref="AO76:AP76"/>
    <mergeCell ref="AQ76:AU76"/>
    <mergeCell ref="AO77:AP77"/>
    <mergeCell ref="AQ77:AU77"/>
    <mergeCell ref="AO78:AP78"/>
    <mergeCell ref="AQ78:AU78"/>
  </mergeCells>
  <dataValidations disablePrompts="1" count="1">
    <dataValidation type="list" allowBlank="1" showInputMessage="1" showErrorMessage="1" sqref="E45:F46 A35:A36 A21:A22 A30:A33 E50:F50 E69:F69 N50:O50 N69:O69 W50:X50 W69:X69 AF50:AG50 AF69:AG69 AO50:AP50 AO69:AP69 AO56:AP58 AF56:AG58 W56:X58 N56:O58 E56:F58 AO63:AP65 E74:F97 N74:O97 W74:X97 AF74:AG97 AO45:AP46 AF45:AG46 W45:X46 N45:O46 A25:A26 AF63:AG65 W63:X65 N63:O65 E63:F65 AO74:AP97" xr:uid="{996D2526-D0C2-4B05-8A9F-0AD297205D0C}">
      <formula1>"In-Kind, Cash Match"</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3b6e6dd-07eb-432f-931e-24012a23e691">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TaxCatchAll xmlns="2dbc2de0-ede4-4f47-9b0b-c443922addd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4F0EEFA2D821F4281D72769B8BB4A88" ma:contentTypeVersion="17" ma:contentTypeDescription="Create a new document." ma:contentTypeScope="" ma:versionID="dc475ec358e8d8a2dac63d65600245a0">
  <xsd:schema xmlns:xsd="http://www.w3.org/2001/XMLSchema" xmlns:xs="http://www.w3.org/2001/XMLSchema" xmlns:p="http://schemas.microsoft.com/office/2006/metadata/properties" xmlns:ns1="http://schemas.microsoft.com/sharepoint/v3" xmlns:ns2="d3b6e6dd-07eb-432f-931e-24012a23e691" xmlns:ns3="2dbc2de0-ede4-4f47-9b0b-c443922addd7" targetNamespace="http://schemas.microsoft.com/office/2006/metadata/properties" ma:root="true" ma:fieldsID="3b09a0b06dd65704a3fd2af192b1cbc3" ns1:_="" ns2:_="" ns3:_="">
    <xsd:import namespace="http://schemas.microsoft.com/sharepoint/v3"/>
    <xsd:import namespace="d3b6e6dd-07eb-432f-931e-24012a23e691"/>
    <xsd:import namespace="2dbc2de0-ede4-4f47-9b0b-c443922addd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1:_ip_UnifiedCompliancePolicyProperties" minOccurs="0"/>
                <xsd:element ref="ns1:_ip_UnifiedCompliancePolicyUIAction"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b6e6dd-07eb-432f-931e-24012a23e6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9153e1a-6dd8-49b1-99b5-62373a7b773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bc2de0-ede4-4f47-9b0b-c443922addd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10e5c0f-bded-403e-98b7-08773a63f589}" ma:internalName="TaxCatchAll" ma:showField="CatchAllData" ma:web="2dbc2de0-ede4-4f47-9b0b-c443922ad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E335B7-C1B9-46F0-8A11-3B7732707DEA}"/>
</file>

<file path=customXml/itemProps2.xml><?xml version="1.0" encoding="utf-8"?>
<ds:datastoreItem xmlns:ds="http://schemas.openxmlformats.org/officeDocument/2006/customXml" ds:itemID="{4DD0D7FD-6B8E-4E84-85A6-E9888AF7279D}"/>
</file>

<file path=customXml/itemProps3.xml><?xml version="1.0" encoding="utf-8"?>
<ds:datastoreItem xmlns:ds="http://schemas.openxmlformats.org/officeDocument/2006/customXml" ds:itemID="{43D7306A-7723-485B-9439-A81B569E5B4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Shannon Mulkeen</dc:creator>
  <cp:keywords/>
  <dc:description/>
  <cp:lastModifiedBy>Samantha Ellithorpe</cp:lastModifiedBy>
  <cp:revision/>
  <dcterms:created xsi:type="dcterms:W3CDTF">2019-11-04T19:19:51Z</dcterms:created>
  <dcterms:modified xsi:type="dcterms:W3CDTF">2025-10-06T13:52:33Z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0x01010014F0EEFA2D821F4281D72769B8BB4A88</vt:lpwstr>
  </property>
  <property fmtid="{D5CDD505-2E9C-101B-9397-08002B2CF9AE}" pid="3" name="MSIP_Label_8d321b5f-a4ea-42e4-9273-2f91b9a1a708_Enabled">
    <vt:lpwstr>true</vt:lpwstr>
  </property>
  <property fmtid="{D5CDD505-2E9C-101B-9397-08002B2CF9AE}" pid="4" name="MSIP_Label_8d321b5f-a4ea-42e4-9273-2f91b9a1a708_SetDate">
    <vt:lpwstr>2022-12-14T20:56:21Z</vt:lpwstr>
  </property>
  <property fmtid="{D5CDD505-2E9C-101B-9397-08002B2CF9AE}" pid="5" name="MSIP_Label_8d321b5f-a4ea-42e4-9273-2f91b9a1a708_Method">
    <vt:lpwstr>Standard</vt:lpwstr>
  </property>
  <property fmtid="{D5CDD505-2E9C-101B-9397-08002B2CF9AE}" pid="6" name="MSIP_Label_8d321b5f-a4ea-42e4-9273-2f91b9a1a708_Name">
    <vt:lpwstr>Low Confidentiality - Green</vt:lpwstr>
  </property>
  <property fmtid="{D5CDD505-2E9C-101B-9397-08002B2CF9AE}" pid="7" name="MSIP_Label_8d321b5f-a4ea-42e4-9273-2f91b9a1a708_SiteId">
    <vt:lpwstr>c5b35b5a-16d5-4414-8ee1-7bde70543f1b</vt:lpwstr>
  </property>
  <property fmtid="{D5CDD505-2E9C-101B-9397-08002B2CF9AE}" pid="8" name="MSIP_Label_8d321b5f-a4ea-42e4-9273-2f91b9a1a708_ActionId">
    <vt:lpwstr>bf3c5788-3d0f-40ec-946e-5143ce1de131</vt:lpwstr>
  </property>
  <property fmtid="{D5CDD505-2E9C-101B-9397-08002B2CF9AE}" pid="9" name="MSIP_Label_8d321b5f-a4ea-42e4-9273-2f91b9a1a708_ContentBits">
    <vt:lpwstr>0</vt:lpwstr>
  </property>
  <property fmtid="{D5CDD505-2E9C-101B-9397-08002B2CF9AE}" pid="10" name="Order">
    <vt:r8>3300</vt:r8>
  </property>
  <property fmtid="{D5CDD505-2E9C-101B-9397-08002B2CF9AE}" pid="11" name="_ExtendedDescription">
    <vt:lpwstr/>
  </property>
  <property fmtid="{D5CDD505-2E9C-101B-9397-08002B2CF9AE}" pid="12" name="TriggerFlowInfo">
    <vt:lpwstr/>
  </property>
  <property fmtid="{D5CDD505-2E9C-101B-9397-08002B2CF9AE}" pid="13" name="ComplianceAssetId">
    <vt:lpwstr/>
  </property>
  <property fmtid="{D5CDD505-2E9C-101B-9397-08002B2CF9AE}" pid="14" name="xd_Signature">
    <vt:bool>false</vt:bool>
  </property>
  <property fmtid="{D5CDD505-2E9C-101B-9397-08002B2CF9AE}" pid="15" name="xd_ProgID">
    <vt:lpwstr/>
  </property>
  <property fmtid="{D5CDD505-2E9C-101B-9397-08002B2CF9AE}" pid="16" name="TemplateUrl">
    <vt:lpwstr/>
  </property>
  <property fmtid="{D5CDD505-2E9C-101B-9397-08002B2CF9AE}" pid="17" name="_ColorHex">
    <vt:lpwstr/>
  </property>
  <property fmtid="{D5CDD505-2E9C-101B-9397-08002B2CF9AE}" pid="18" name="_Emoji">
    <vt:lpwstr/>
  </property>
  <property fmtid="{D5CDD505-2E9C-101B-9397-08002B2CF9AE}" pid="19" name="_ColorTag">
    <vt:lpwstr/>
  </property>
  <property fmtid="{D5CDD505-2E9C-101B-9397-08002B2CF9AE}" pid="20" name="MediaServiceImageTags">
    <vt:lpwstr/>
  </property>
</Properties>
</file>